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0730" windowHeight="11760" firstSheet="51" activeTab="51"/>
  </bookViews>
  <sheets>
    <sheet name="Đ" sheetId="51" state="hidden" r:id="rId1"/>
    <sheet name="Đường Hương thôn" sheetId="50" state="hidden" r:id="rId2"/>
    <sheet name="Sheet7" sheetId="49" state="hidden" r:id="rId3"/>
    <sheet name="Trường MN Phong Sơn" sheetId="47" state="hidden" r:id="rId4"/>
    <sheet name="Điện Điền Môn" sheetId="46" state="hidden" r:id="rId5"/>
    <sheet name="Đường thôn 10" sheetId="45" state="hidden" r:id="rId6"/>
    <sheet name="TB pHONG hÒA" sheetId="44" state="hidden" r:id="rId7"/>
    <sheet name="Đê ĐM" sheetId="43" state="hidden" r:id="rId8"/>
    <sheet name="Kênh ĐHương" sheetId="42" state="hidden" r:id="rId9"/>
    <sheet name="Kênh Điền Môn" sheetId="41" state="hidden" r:id="rId10"/>
    <sheet name="Thoát nước Phong Hải" sheetId="40" state="hidden" r:id="rId11"/>
    <sheet name="Cầu Trung Thạnh" sheetId="39" state="hidden" r:id="rId12"/>
    <sheet name="Đê ĐHương" sheetId="38" state="hidden" r:id="rId13"/>
    <sheet name="Sheet6" sheetId="37" state="hidden" r:id="rId14"/>
    <sheet name="Đê phong bình" sheetId="36" state="hidden" r:id="rId15"/>
    <sheet name="Phong Chương" sheetId="35" state="hidden" r:id="rId16"/>
    <sheet name="135 PM" sheetId="34" state="hidden" r:id="rId17"/>
    <sheet name="Đường ĐHòa" sheetId="33" state="hidden" r:id="rId18"/>
    <sheet name="Kè" sheetId="25" state="hidden" r:id="rId19"/>
    <sheet name="cqcm" sheetId="32" state="hidden" r:id="rId20"/>
    <sheet name="TB Phong Bình" sheetId="31" state="hidden" r:id="rId21"/>
    <sheet name="NTP" sheetId="30" state="hidden" r:id="rId22"/>
    <sheet name="Sheet4" sheetId="29" state="hidden" r:id="rId23"/>
    <sheet name="ben củi" sheetId="26" state="hidden" r:id="rId24"/>
    <sheet name="KH đen l2" sheetId="28" state="hidden" r:id="rId25"/>
    <sheet name="KH dèn" sheetId="24" state="hidden" r:id="rId26"/>
    <sheet name="TĐ lần 2" sheetId="27" state="hidden" r:id="rId27"/>
    <sheet name="TĐ đèn" sheetId="23" state="hidden" r:id="rId28"/>
    <sheet name="DTHD" sheetId="22" state="hidden" r:id="rId29"/>
    <sheet name="TB HD" sheetId="21" state="hidden" r:id="rId30"/>
    <sheet name="MNây" sheetId="20" state="hidden" r:id="rId31"/>
    <sheet name="257 pb" sheetId="19" state="hidden" r:id="rId32"/>
    <sheet name="135" sheetId="18" state="hidden" r:id="rId33"/>
    <sheet name="THPTHU" sheetId="17" state="hidden" r:id="rId34"/>
    <sheet name="Sheet5" sheetId="16" state="hidden" r:id="rId35"/>
    <sheet name="đhoa" sheetId="15" state="hidden" r:id="rId36"/>
    <sheet name="KH MNPTH" sheetId="14" state="hidden" r:id="rId37"/>
    <sheet name="MN PtHU" sheetId="13" state="hidden" r:id="rId38"/>
    <sheet name="TMĐT XB" sheetId="12" state="hidden" r:id="rId39"/>
    <sheet name="đường XB" sheetId="11" state="hidden" r:id="rId40"/>
    <sheet name="tmđt ĐườngTP" sheetId="8" state="hidden" r:id="rId41"/>
    <sheet name="Đường PH" sheetId="10" state="hidden" r:id="rId42"/>
    <sheet name="MN PH1" sheetId="9" state="hidden" r:id="rId43"/>
    <sheet name="THCS PH" sheetId="7" state="hidden" r:id="rId44"/>
    <sheet name="MN PChương 2" sheetId="6" state="hidden" r:id="rId45"/>
    <sheet name="NTLS" sheetId="5" state="hidden" r:id="rId46"/>
    <sheet name="Sheet2" sheetId="4" state="hidden" r:id="rId47"/>
    <sheet name="Sheet1" sheetId="1" state="hidden" r:id="rId48"/>
    <sheet name="TCKH" sheetId="2" state="hidden" r:id="rId49"/>
    <sheet name="Sheet3" sheetId="3" state="hidden" r:id="rId50"/>
    <sheet name="Sheet8" sheetId="52" state="hidden" r:id="rId51"/>
    <sheet name="Phụ lục KHLCNT" sheetId="53" r:id="rId52"/>
  </sheets>
  <externalReferences>
    <externalReference r:id="rId53"/>
  </externalReferences>
  <definedNames>
    <definedName name="_xlnm.Print_Area" localSheetId="0">Đ!$A$1:$J$15</definedName>
    <definedName name="_xlnm.Print_Area" localSheetId="51">'Phụ lục KHLCNT'!$A$1:$J$12</definedName>
    <definedName name="_xlnm.Print_Area" localSheetId="47">Sheet1!$A$1:$I$9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3" l="1"/>
  <c r="C12" i="53" l="1"/>
  <c r="C8" i="51" l="1"/>
  <c r="C7" i="51" s="1"/>
  <c r="C6" i="51" s="1"/>
  <c r="C15" i="51" s="1"/>
  <c r="C12" i="51"/>
  <c r="C9" i="51" s="1"/>
  <c r="C8" i="50"/>
  <c r="C6" i="50"/>
  <c r="C5" i="50" s="1"/>
  <c r="C7" i="50"/>
  <c r="C14" i="50"/>
  <c r="C15" i="50"/>
  <c r="C16" i="50"/>
  <c r="C12" i="50"/>
  <c r="C18" i="50"/>
  <c r="C17" i="50" s="1"/>
  <c r="C20" i="50"/>
  <c r="C21" i="50"/>
  <c r="C22" i="50"/>
  <c r="C23" i="50"/>
  <c r="C30" i="50"/>
  <c r="C29" i="50" s="1"/>
  <c r="C36" i="50"/>
  <c r="C37" i="50"/>
  <c r="C41" i="50"/>
  <c r="C38" i="50" s="1"/>
  <c r="C26" i="49"/>
  <c r="C25" i="49"/>
  <c r="C31" i="49"/>
  <c r="C30" i="49" s="1"/>
  <c r="C29" i="49" s="1"/>
  <c r="C32" i="49"/>
  <c r="C35" i="49"/>
  <c r="C34" i="49" s="1"/>
  <c r="C36" i="49"/>
  <c r="C16" i="49"/>
  <c r="C15" i="49"/>
  <c r="C14" i="49" s="1"/>
  <c r="C11" i="49"/>
  <c r="C10" i="49" s="1"/>
  <c r="C9" i="49" s="1"/>
  <c r="C12" i="49"/>
  <c r="C5" i="49"/>
  <c r="L28" i="47"/>
  <c r="L33" i="47" s="1"/>
  <c r="C27" i="47"/>
  <c r="C26" i="47" s="1"/>
  <c r="C33" i="47"/>
  <c r="C31" i="47" s="1"/>
  <c r="C36" i="47"/>
  <c r="C35" i="47" s="1"/>
  <c r="C38" i="47"/>
  <c r="C39" i="47"/>
  <c r="C18" i="47"/>
  <c r="C15" i="47"/>
  <c r="C17" i="47"/>
  <c r="C12" i="47"/>
  <c r="C10" i="47" s="1"/>
  <c r="C6" i="47"/>
  <c r="C5" i="47" s="1"/>
  <c r="C27" i="46"/>
  <c r="C35" i="46"/>
  <c r="C33" i="46"/>
  <c r="C40" i="46"/>
  <c r="C37" i="46" s="1"/>
  <c r="C32" i="46" s="1"/>
  <c r="C41" i="46"/>
  <c r="C19" i="46"/>
  <c r="C18" i="46"/>
  <c r="C15" i="46" s="1"/>
  <c r="C13" i="46"/>
  <c r="C5" i="46"/>
  <c r="C11" i="46"/>
  <c r="C10" i="46" s="1"/>
  <c r="C22" i="46" s="1"/>
  <c r="C38" i="45"/>
  <c r="C35" i="45" s="1"/>
  <c r="C34" i="45"/>
  <c r="C33" i="45"/>
  <c r="C27" i="45"/>
  <c r="C26" i="45" s="1"/>
  <c r="C13" i="45"/>
  <c r="C10" i="45" s="1"/>
  <c r="C17" i="45"/>
  <c r="C14" i="45" s="1"/>
  <c r="C12" i="45"/>
  <c r="C6" i="45"/>
  <c r="C5" i="45" s="1"/>
  <c r="C5" i="2"/>
  <c r="C6" i="2"/>
  <c r="C7" i="2"/>
  <c r="C8" i="2"/>
  <c r="K7" i="2"/>
  <c r="J8" i="2"/>
  <c r="J9" i="2" s="1"/>
  <c r="C32" i="2"/>
  <c r="C33" i="2"/>
  <c r="C34" i="2"/>
  <c r="C35" i="2"/>
  <c r="C5" i="1"/>
  <c r="C6" i="1"/>
  <c r="C7" i="1"/>
  <c r="K7" i="1"/>
  <c r="C8" i="1"/>
  <c r="J8" i="1"/>
  <c r="J9" i="1" s="1"/>
  <c r="C6" i="5"/>
  <c r="C9" i="5"/>
  <c r="C38" i="5"/>
  <c r="C39" i="5"/>
  <c r="C40" i="5"/>
  <c r="C41" i="5"/>
  <c r="C14" i="6"/>
  <c r="C17" i="6" s="1"/>
  <c r="J14" i="6"/>
  <c r="L14" i="6" s="1"/>
  <c r="C35" i="6"/>
  <c r="C6" i="7"/>
  <c r="C8" i="7"/>
  <c r="C10" i="7"/>
  <c r="C15" i="7"/>
  <c r="C17" i="7"/>
  <c r="L17" i="7"/>
  <c r="D23" i="7"/>
  <c r="C60" i="7"/>
  <c r="C62" i="7"/>
  <c r="C64" i="7"/>
  <c r="C69" i="7"/>
  <c r="C71" i="7"/>
  <c r="C6" i="9"/>
  <c r="C8" i="9"/>
  <c r="C5" i="9" s="1"/>
  <c r="C10" i="9"/>
  <c r="C15" i="9"/>
  <c r="C17" i="9"/>
  <c r="L17" i="9"/>
  <c r="C27" i="9"/>
  <c r="C60" i="9"/>
  <c r="C62" i="9"/>
  <c r="C64" i="9"/>
  <c r="C69" i="9"/>
  <c r="C68" i="9" s="1"/>
  <c r="C63" i="9" s="1"/>
  <c r="C71" i="9"/>
  <c r="C6" i="10"/>
  <c r="C5" i="10" s="1"/>
  <c r="C7" i="10"/>
  <c r="C11" i="10"/>
  <c r="C10" i="10"/>
  <c r="C15" i="10"/>
  <c r="C17" i="10"/>
  <c r="L16" i="10"/>
  <c r="C25" i="10"/>
  <c r="D25" i="10" s="1"/>
  <c r="C26" i="10"/>
  <c r="C27" i="10"/>
  <c r="D27" i="10" s="1"/>
  <c r="C59" i="10"/>
  <c r="C60" i="10"/>
  <c r="C64" i="10"/>
  <c r="C63" i="10"/>
  <c r="C68" i="10"/>
  <c r="C70" i="10"/>
  <c r="C67" i="10"/>
  <c r="C62" i="10" s="1"/>
  <c r="L70" i="10"/>
  <c r="E19" i="8"/>
  <c r="E20" i="8"/>
  <c r="E16" i="8"/>
  <c r="E26" i="8"/>
  <c r="E22" i="8"/>
  <c r="E29" i="8"/>
  <c r="C6" i="11"/>
  <c r="C5" i="11"/>
  <c r="C10" i="11"/>
  <c r="C15" i="11"/>
  <c r="C18" i="11"/>
  <c r="L18" i="11"/>
  <c r="C61" i="11"/>
  <c r="C60" i="11" s="1"/>
  <c r="C65" i="11"/>
  <c r="C70" i="11"/>
  <c r="C73" i="11"/>
  <c r="L72" i="11"/>
  <c r="E19" i="12"/>
  <c r="E16" i="12" s="1"/>
  <c r="E29" i="12" s="1"/>
  <c r="E21" i="12"/>
  <c r="E27" i="12"/>
  <c r="E18" i="13"/>
  <c r="E16" i="13" s="1"/>
  <c r="E20" i="13"/>
  <c r="E22" i="13"/>
  <c r="E28" i="13"/>
  <c r="C6" i="14"/>
  <c r="C5" i="14" s="1"/>
  <c r="C10" i="14"/>
  <c r="C15" i="14"/>
  <c r="C17" i="14"/>
  <c r="L17" i="14"/>
  <c r="C27" i="14"/>
  <c r="C60" i="14"/>
  <c r="C59" i="14"/>
  <c r="C64" i="14"/>
  <c r="C69" i="14"/>
  <c r="C71" i="14"/>
  <c r="C68" i="14" s="1"/>
  <c r="C63" i="14" s="1"/>
  <c r="C74" i="14" s="1"/>
  <c r="C6" i="15"/>
  <c r="C5" i="15" s="1"/>
  <c r="C10" i="15"/>
  <c r="C17" i="15"/>
  <c r="C14" i="15" s="1"/>
  <c r="C9" i="15" s="1"/>
  <c r="C20" i="15" s="1"/>
  <c r="C28" i="15" s="1"/>
  <c r="D28" i="15" s="1"/>
  <c r="L17" i="15"/>
  <c r="C27" i="15"/>
  <c r="C60" i="15"/>
  <c r="C59" i="15"/>
  <c r="C64" i="15"/>
  <c r="C71" i="15"/>
  <c r="C68" i="15" s="1"/>
  <c r="E6" i="16"/>
  <c r="E9" i="16" s="1"/>
  <c r="D7" i="16"/>
  <c r="D8" i="16"/>
  <c r="E21" i="16"/>
  <c r="C6" i="17"/>
  <c r="C5" i="17" s="1"/>
  <c r="C10" i="17"/>
  <c r="C15" i="17"/>
  <c r="C17" i="17"/>
  <c r="L16" i="17"/>
  <c r="C26" i="17"/>
  <c r="C27" i="17"/>
  <c r="D27" i="17" s="1"/>
  <c r="C59" i="17"/>
  <c r="C58" i="17" s="1"/>
  <c r="C63" i="17"/>
  <c r="C68" i="17"/>
  <c r="C70" i="17"/>
  <c r="C67" i="17" s="1"/>
  <c r="C62" i="17" s="1"/>
  <c r="C6" i="18"/>
  <c r="C5" i="18" s="1"/>
  <c r="C10" i="18"/>
  <c r="C9" i="18" s="1"/>
  <c r="C20" i="18" s="1"/>
  <c r="C28" i="18" s="1"/>
  <c r="D28" i="18" s="1"/>
  <c r="C17" i="18"/>
  <c r="C14" i="18" s="1"/>
  <c r="L17" i="18"/>
  <c r="C27" i="18"/>
  <c r="C60" i="18"/>
  <c r="C59" i="18"/>
  <c r="C74" i="18" s="1"/>
  <c r="C64" i="18"/>
  <c r="C71" i="18"/>
  <c r="C68" i="18" s="1"/>
  <c r="E20" i="19"/>
  <c r="E16" i="19"/>
  <c r="E22" i="19"/>
  <c r="E28" i="19"/>
  <c r="E30" i="19"/>
  <c r="F29" i="19" s="1"/>
  <c r="C6" i="20"/>
  <c r="C5" i="20"/>
  <c r="C10" i="20"/>
  <c r="C17" i="20"/>
  <c r="C14" i="20"/>
  <c r="L17" i="20"/>
  <c r="C27" i="20"/>
  <c r="C60" i="20"/>
  <c r="C59" i="20" s="1"/>
  <c r="C64" i="20"/>
  <c r="C71" i="20"/>
  <c r="C68" i="20" s="1"/>
  <c r="C79" i="20"/>
  <c r="C78" i="20"/>
  <c r="C83" i="20"/>
  <c r="C89" i="20"/>
  <c r="C86" i="20" s="1"/>
  <c r="C6" i="21"/>
  <c r="C5" i="21" s="1"/>
  <c r="C10" i="21"/>
  <c r="C17" i="21"/>
  <c r="C14" i="21" s="1"/>
  <c r="C9" i="21" s="1"/>
  <c r="C20" i="21" s="1"/>
  <c r="L17" i="21"/>
  <c r="C60" i="21"/>
  <c r="C59" i="21" s="1"/>
  <c r="C64" i="21"/>
  <c r="C71" i="21"/>
  <c r="C68" i="21" s="1"/>
  <c r="C79" i="21"/>
  <c r="C78" i="21"/>
  <c r="C83" i="21"/>
  <c r="C82" i="21" s="1"/>
  <c r="C89" i="21"/>
  <c r="C86" i="21"/>
  <c r="E10" i="22"/>
  <c r="E12" i="22"/>
  <c r="E13" i="22"/>
  <c r="E14" i="22"/>
  <c r="E20" i="22"/>
  <c r="E6" i="23"/>
  <c r="F8" i="23"/>
  <c r="E17" i="23"/>
  <c r="E18" i="23"/>
  <c r="E19" i="23"/>
  <c r="E25" i="23"/>
  <c r="E22" i="23" s="1"/>
  <c r="E27" i="23"/>
  <c r="E6" i="27"/>
  <c r="F8" i="27"/>
  <c r="E17" i="27"/>
  <c r="E16" i="27" s="1"/>
  <c r="E14" i="27" s="1"/>
  <c r="E18" i="27"/>
  <c r="E19" i="27"/>
  <c r="E25" i="27"/>
  <c r="E22" i="27" s="1"/>
  <c r="E27" i="27"/>
  <c r="C6" i="24"/>
  <c r="C5" i="24" s="1"/>
  <c r="C10" i="24"/>
  <c r="C14" i="24"/>
  <c r="L17" i="24"/>
  <c r="C60" i="24"/>
  <c r="C59" i="24"/>
  <c r="C64" i="24"/>
  <c r="C63" i="24" s="1"/>
  <c r="C74" i="24" s="1"/>
  <c r="C71" i="24"/>
  <c r="C68" i="24"/>
  <c r="C79" i="24"/>
  <c r="C78" i="24" s="1"/>
  <c r="C83" i="24"/>
  <c r="C89" i="24"/>
  <c r="C86" i="24" s="1"/>
  <c r="C6" i="28"/>
  <c r="C7" i="28"/>
  <c r="C10" i="28"/>
  <c r="C15" i="28"/>
  <c r="C17" i="28"/>
  <c r="C18" i="28"/>
  <c r="C14" i="28"/>
  <c r="C9" i="28" s="1"/>
  <c r="L17" i="28"/>
  <c r="C60" i="28"/>
  <c r="C61" i="28"/>
  <c r="C59" i="28" s="1"/>
  <c r="C64" i="28"/>
  <c r="C69" i="28"/>
  <c r="C68" i="28" s="1"/>
  <c r="C71" i="28"/>
  <c r="C72" i="28"/>
  <c r="C6" i="26"/>
  <c r="C5" i="26" s="1"/>
  <c r="C10" i="26"/>
  <c r="C9" i="26" s="1"/>
  <c r="C19" i="26"/>
  <c r="C17" i="26" s="1"/>
  <c r="L19" i="26"/>
  <c r="C58" i="26"/>
  <c r="C57" i="26" s="1"/>
  <c r="C62" i="26"/>
  <c r="C71" i="26"/>
  <c r="C69" i="26" s="1"/>
  <c r="C61" i="26" s="1"/>
  <c r="C73" i="26" s="1"/>
  <c r="L71" i="26"/>
  <c r="C88" i="26"/>
  <c r="C5" i="29"/>
  <c r="C10" i="29"/>
  <c r="C9" i="29" s="1"/>
  <c r="C20" i="29" s="1"/>
  <c r="D27" i="29" s="1"/>
  <c r="E27" i="29" s="1"/>
  <c r="C17" i="29"/>
  <c r="C14" i="29" s="1"/>
  <c r="L17" i="29"/>
  <c r="C59" i="29"/>
  <c r="C64" i="29"/>
  <c r="C71" i="29"/>
  <c r="C68" i="29"/>
  <c r="C6" i="30"/>
  <c r="C5" i="30" s="1"/>
  <c r="C10" i="30"/>
  <c r="C18" i="30"/>
  <c r="C15" i="30" s="1"/>
  <c r="L18" i="30"/>
  <c r="C61" i="30"/>
  <c r="C60" i="30" s="1"/>
  <c r="C65" i="30"/>
  <c r="C73" i="30"/>
  <c r="C70" i="30" s="1"/>
  <c r="C64" i="30" s="1"/>
  <c r="C6" i="31"/>
  <c r="C5" i="31" s="1"/>
  <c r="C7" i="31"/>
  <c r="C10" i="31"/>
  <c r="C12" i="31"/>
  <c r="C17" i="31"/>
  <c r="L18" i="31"/>
  <c r="C19" i="31"/>
  <c r="C20" i="31"/>
  <c r="D29" i="31"/>
  <c r="C61" i="31"/>
  <c r="C60" i="31" s="1"/>
  <c r="C62" i="31"/>
  <c r="C65" i="31"/>
  <c r="C67" i="31"/>
  <c r="C66" i="31" s="1"/>
  <c r="C72" i="31"/>
  <c r="C74" i="31"/>
  <c r="C75" i="31"/>
  <c r="C83" i="31"/>
  <c r="C84" i="31"/>
  <c r="C87" i="31"/>
  <c r="C89" i="31"/>
  <c r="C94" i="31"/>
  <c r="C96" i="31"/>
  <c r="C97" i="31"/>
  <c r="C93" i="31"/>
  <c r="C88" i="31" s="1"/>
  <c r="C5" i="32"/>
  <c r="C10" i="32"/>
  <c r="L15" i="32"/>
  <c r="C16" i="32"/>
  <c r="C13" i="32" s="1"/>
  <c r="C9" i="32" s="1"/>
  <c r="C19" i="32" s="1"/>
  <c r="C28" i="32" s="1"/>
  <c r="D26" i="32"/>
  <c r="C57" i="32"/>
  <c r="C62" i="32"/>
  <c r="C68" i="32"/>
  <c r="C65" i="32" s="1"/>
  <c r="C5" i="25"/>
  <c r="L27" i="25"/>
  <c r="C28" i="25"/>
  <c r="C27" i="25"/>
  <c r="C32" i="25"/>
  <c r="C31" i="25" s="1"/>
  <c r="C41" i="25"/>
  <c r="C39" i="25"/>
  <c r="C64" i="25"/>
  <c r="C63" i="25" s="1"/>
  <c r="C68" i="25"/>
  <c r="C77" i="25"/>
  <c r="C75" i="25"/>
  <c r="L77" i="25"/>
  <c r="C6" i="33"/>
  <c r="C5" i="33"/>
  <c r="C10" i="33"/>
  <c r="C9" i="33" s="1"/>
  <c r="C20" i="33" s="1"/>
  <c r="C15" i="33"/>
  <c r="C17" i="33"/>
  <c r="C14" i="33" s="1"/>
  <c r="C29" i="33"/>
  <c r="C28" i="33" s="1"/>
  <c r="C33" i="33"/>
  <c r="C38" i="33"/>
  <c r="K39" i="33"/>
  <c r="C40" i="33"/>
  <c r="K41" i="33"/>
  <c r="K42" i="33"/>
  <c r="E60" i="33"/>
  <c r="C6" i="34"/>
  <c r="C5" i="34" s="1"/>
  <c r="C10" i="34"/>
  <c r="C9" i="34" s="1"/>
  <c r="C15" i="34"/>
  <c r="C14" i="34" s="1"/>
  <c r="C27" i="34"/>
  <c r="C26" i="34"/>
  <c r="C31" i="34"/>
  <c r="C36" i="34"/>
  <c r="C35" i="34" s="1"/>
  <c r="E41" i="34"/>
  <c r="C7" i="35"/>
  <c r="C8" i="35"/>
  <c r="C6" i="35" s="1"/>
  <c r="C9" i="35"/>
  <c r="C11" i="35"/>
  <c r="C14" i="35"/>
  <c r="C17" i="35"/>
  <c r="C20" i="35"/>
  <c r="C19" i="35"/>
  <c r="K21" i="35"/>
  <c r="C21" i="35" s="1"/>
  <c r="C18" i="35" s="1"/>
  <c r="C22" i="35"/>
  <c r="N26" i="35"/>
  <c r="L27" i="35"/>
  <c r="M27" i="35"/>
  <c r="L29" i="35"/>
  <c r="C34" i="35"/>
  <c r="C38" i="35"/>
  <c r="C43" i="35"/>
  <c r="C45" i="35"/>
  <c r="K44" i="35"/>
  <c r="K46" i="35"/>
  <c r="K47" i="35"/>
  <c r="E65" i="35"/>
  <c r="C6" i="36"/>
  <c r="C5" i="36" s="1"/>
  <c r="C11" i="36"/>
  <c r="C14" i="36"/>
  <c r="C10" i="36" s="1"/>
  <c r="C16" i="36"/>
  <c r="C17" i="36"/>
  <c r="C18" i="36"/>
  <c r="K16" i="36"/>
  <c r="L17" i="36"/>
  <c r="C64" i="36"/>
  <c r="C63" i="36"/>
  <c r="C69" i="36"/>
  <c r="C72" i="36"/>
  <c r="C68" i="36"/>
  <c r="C74" i="36"/>
  <c r="C75" i="36"/>
  <c r="C76" i="36"/>
  <c r="C121" i="36"/>
  <c r="C120" i="36" s="1"/>
  <c r="C126" i="36"/>
  <c r="C129" i="36"/>
  <c r="C131" i="36"/>
  <c r="C132" i="36"/>
  <c r="C133" i="36"/>
  <c r="C134" i="36"/>
  <c r="C5" i="37"/>
  <c r="C11" i="37"/>
  <c r="C10" i="37" s="1"/>
  <c r="C19" i="37" s="1"/>
  <c r="C16" i="37"/>
  <c r="C15" i="37"/>
  <c r="C27" i="37"/>
  <c r="C33" i="37"/>
  <c r="C38" i="37"/>
  <c r="C37" i="37"/>
  <c r="C32" i="37" s="1"/>
  <c r="C41" i="37" s="1"/>
  <c r="C6" i="38"/>
  <c r="C7" i="38"/>
  <c r="C12" i="38"/>
  <c r="C10" i="38" s="1"/>
  <c r="C15" i="38"/>
  <c r="C16" i="38"/>
  <c r="C14" i="38" s="1"/>
  <c r="C17" i="38"/>
  <c r="C18" i="38"/>
  <c r="C19" i="38"/>
  <c r="C27" i="38"/>
  <c r="C28" i="38"/>
  <c r="C26" i="38" s="1"/>
  <c r="C33" i="38"/>
  <c r="C31" i="38" s="1"/>
  <c r="C36" i="38"/>
  <c r="C37" i="38"/>
  <c r="C38" i="38"/>
  <c r="C39" i="38"/>
  <c r="C40" i="38"/>
  <c r="C35" i="38" s="1"/>
  <c r="C6" i="39"/>
  <c r="C5" i="39"/>
  <c r="C12" i="39"/>
  <c r="C10" i="39" s="1"/>
  <c r="C15" i="39"/>
  <c r="C14" i="39" s="1"/>
  <c r="C9" i="39" s="1"/>
  <c r="C21" i="39" s="1"/>
  <c r="C17" i="39"/>
  <c r="C18" i="39"/>
  <c r="C47" i="39"/>
  <c r="C46" i="39" s="1"/>
  <c r="C53" i="39"/>
  <c r="C51" i="39" s="1"/>
  <c r="C56" i="39"/>
  <c r="C58" i="39"/>
  <c r="C55" i="39" s="1"/>
  <c r="C50" i="39" s="1"/>
  <c r="C62" i="39" s="1"/>
  <c r="C59" i="39"/>
  <c r="C6" i="40"/>
  <c r="C5" i="40"/>
  <c r="C12" i="40"/>
  <c r="C10" i="40" s="1"/>
  <c r="C15" i="40"/>
  <c r="C17" i="40"/>
  <c r="C18" i="40"/>
  <c r="C49" i="40"/>
  <c r="C48" i="40" s="1"/>
  <c r="C55" i="40"/>
  <c r="C53" i="40"/>
  <c r="C58" i="40"/>
  <c r="C60" i="40"/>
  <c r="C57" i="40" s="1"/>
  <c r="C61" i="40"/>
  <c r="C6" i="41"/>
  <c r="C5" i="41" s="1"/>
  <c r="C13" i="41"/>
  <c r="C11" i="41"/>
  <c r="C18" i="41"/>
  <c r="C19" i="41"/>
  <c r="C15" i="41" s="1"/>
  <c r="C29" i="41"/>
  <c r="C28" i="41" s="1"/>
  <c r="C36" i="41"/>
  <c r="C34" i="41"/>
  <c r="C41" i="41"/>
  <c r="C42" i="41"/>
  <c r="C38" i="41"/>
  <c r="C6" i="42"/>
  <c r="C5" i="42" s="1"/>
  <c r="C7" i="42"/>
  <c r="C11" i="42"/>
  <c r="C12" i="42"/>
  <c r="C10" i="42"/>
  <c r="C15" i="42"/>
  <c r="C14" i="42" s="1"/>
  <c r="C46" i="42"/>
  <c r="C48" i="42"/>
  <c r="C49" i="42"/>
  <c r="C53" i="42"/>
  <c r="C54" i="42"/>
  <c r="C57" i="42"/>
  <c r="C56" i="42"/>
  <c r="C6" i="43"/>
  <c r="C5" i="43" s="1"/>
  <c r="C12" i="43"/>
  <c r="C10" i="43"/>
  <c r="C9" i="43" s="1"/>
  <c r="C15" i="43"/>
  <c r="C14" i="43" s="1"/>
  <c r="C16" i="43"/>
  <c r="C17" i="43"/>
  <c r="C27" i="43"/>
  <c r="C26" i="43" s="1"/>
  <c r="C33" i="43"/>
  <c r="C31" i="43"/>
  <c r="C36" i="43"/>
  <c r="C35" i="43" s="1"/>
  <c r="C37" i="43"/>
  <c r="C38" i="43"/>
  <c r="C6" i="44"/>
  <c r="C7" i="44"/>
  <c r="C5" i="44" s="1"/>
  <c r="C12" i="44"/>
  <c r="C13" i="44"/>
  <c r="C11" i="44"/>
  <c r="C16" i="44"/>
  <c r="C17" i="44"/>
  <c r="C15" i="44" s="1"/>
  <c r="C27" i="44"/>
  <c r="C28" i="44"/>
  <c r="C33" i="44"/>
  <c r="C34" i="44"/>
  <c r="C37" i="44"/>
  <c r="C38" i="44"/>
  <c r="C36" i="44"/>
  <c r="C73" i="36"/>
  <c r="C16" i="31"/>
  <c r="C11" i="31" s="1"/>
  <c r="K40" i="33"/>
  <c r="K43" i="33"/>
  <c r="C71" i="31"/>
  <c r="C63" i="20"/>
  <c r="C74" i="20" s="1"/>
  <c r="C63" i="18"/>
  <c r="C9" i="1" l="1"/>
  <c r="C21" i="26"/>
  <c r="C22" i="31"/>
  <c r="C31" i="31" s="1"/>
  <c r="F9" i="27"/>
  <c r="C77" i="31"/>
  <c r="C76" i="30"/>
  <c r="C9" i="7"/>
  <c r="C92" i="21"/>
  <c r="C26" i="44"/>
  <c r="C41" i="44" s="1"/>
  <c r="C5" i="38"/>
  <c r="C42" i="35"/>
  <c r="C37" i="35" s="1"/>
  <c r="C37" i="33"/>
  <c r="C32" i="33" s="1"/>
  <c r="C43" i="33" s="1"/>
  <c r="C61" i="32"/>
  <c r="C5" i="28"/>
  <c r="C20" i="28" s="1"/>
  <c r="C9" i="24"/>
  <c r="C20" i="24" s="1"/>
  <c r="C14" i="17"/>
  <c r="C9" i="17" s="1"/>
  <c r="C20" i="17" s="1"/>
  <c r="C14" i="9"/>
  <c r="C14" i="7"/>
  <c r="J15" i="6"/>
  <c r="C34" i="50"/>
  <c r="C52" i="42"/>
  <c r="C51" i="42" s="1"/>
  <c r="C59" i="9"/>
  <c r="C74" i="9" s="1"/>
  <c r="C59" i="7"/>
  <c r="C36" i="2"/>
  <c r="C9" i="2"/>
  <c r="C11" i="50"/>
  <c r="C24" i="50" s="1"/>
  <c r="K24" i="50" s="1"/>
  <c r="C47" i="42"/>
  <c r="C61" i="42" s="1"/>
  <c r="C82" i="31"/>
  <c r="C99" i="31" s="1"/>
  <c r="C63" i="29"/>
  <c r="C63" i="28"/>
  <c r="C74" i="28" s="1"/>
  <c r="C82" i="24"/>
  <c r="C14" i="14"/>
  <c r="C9" i="14" s="1"/>
  <c r="C20" i="14" s="1"/>
  <c r="C28" i="14" s="1"/>
  <c r="D28" i="14" s="1"/>
  <c r="C69" i="11"/>
  <c r="C64" i="11" s="1"/>
  <c r="C76" i="11" s="1"/>
  <c r="C14" i="11"/>
  <c r="C14" i="10"/>
  <c r="C5" i="7"/>
  <c r="C20" i="7" s="1"/>
  <c r="C22" i="7" s="1"/>
  <c r="C42" i="45"/>
  <c r="C14" i="47"/>
  <c r="C30" i="43"/>
  <c r="C42" i="43" s="1"/>
  <c r="C43" i="25"/>
  <c r="C9" i="9"/>
  <c r="C20" i="9" s="1"/>
  <c r="C28" i="9" s="1"/>
  <c r="D28" i="9" s="1"/>
  <c r="C21" i="43"/>
  <c r="C15" i="36"/>
  <c r="C9" i="36" s="1"/>
  <c r="C22" i="36" s="1"/>
  <c r="C9" i="20"/>
  <c r="C20" i="20" s="1"/>
  <c r="C28" i="20" s="1"/>
  <c r="D28" i="20" s="1"/>
  <c r="E30" i="13"/>
  <c r="E31" i="8"/>
  <c r="C67" i="36"/>
  <c r="C79" i="36" s="1"/>
  <c r="C9" i="42"/>
  <c r="C19" i="42" s="1"/>
  <c r="C125" i="36"/>
  <c r="C124" i="36" s="1"/>
  <c r="C137" i="36" s="1"/>
  <c r="C32" i="44"/>
  <c r="C31" i="44" s="1"/>
  <c r="C33" i="41"/>
  <c r="C45" i="41" s="1"/>
  <c r="C130" i="36"/>
  <c r="C5" i="35"/>
  <c r="C67" i="25"/>
  <c r="C79" i="25" s="1"/>
  <c r="C63" i="21"/>
  <c r="C74" i="21" s="1"/>
  <c r="E14" i="16"/>
  <c r="C31" i="45"/>
  <c r="C30" i="45" s="1"/>
  <c r="C27" i="21"/>
  <c r="D27" i="21"/>
  <c r="E27" i="21" s="1"/>
  <c r="C13" i="35"/>
  <c r="C12" i="35" s="1"/>
  <c r="C25" i="35" s="1"/>
  <c r="K17" i="35"/>
  <c r="C14" i="40"/>
  <c r="C9" i="38"/>
  <c r="C21" i="38" s="1"/>
  <c r="C18" i="34"/>
  <c r="C71" i="32"/>
  <c r="C82" i="20"/>
  <c r="C63" i="15"/>
  <c r="C74" i="15" s="1"/>
  <c r="C9" i="11"/>
  <c r="C21" i="11" s="1"/>
  <c r="C9" i="10"/>
  <c r="C20" i="10" s="1"/>
  <c r="C9" i="45"/>
  <c r="C21" i="45" s="1"/>
  <c r="C44" i="46"/>
  <c r="C27" i="29"/>
  <c r="C10" i="41"/>
  <c r="C52" i="40"/>
  <c r="C64" i="40" s="1"/>
  <c r="C9" i="40"/>
  <c r="C21" i="40" s="1"/>
  <c r="C33" i="35"/>
  <c r="C48" i="35" s="1"/>
  <c r="K45" i="35"/>
  <c r="C30" i="34"/>
  <c r="C39" i="34" s="1"/>
  <c r="E16" i="23"/>
  <c r="E14" i="23" s="1"/>
  <c r="E29" i="23" s="1"/>
  <c r="F29" i="23" s="1"/>
  <c r="C92" i="20"/>
  <c r="C68" i="7"/>
  <c r="C63" i="7" s="1"/>
  <c r="C74" i="7" s="1"/>
  <c r="C19" i="49"/>
  <c r="K48" i="35"/>
  <c r="E29" i="27"/>
  <c r="F29" i="27" s="1"/>
  <c r="C73" i="17"/>
  <c r="C42" i="5"/>
  <c r="C9" i="47"/>
  <c r="C21" i="47" s="1"/>
  <c r="C33" i="50"/>
  <c r="C45" i="50" s="1"/>
  <c r="C22" i="41"/>
  <c r="C30" i="38"/>
  <c r="C42" i="38" s="1"/>
  <c r="C9" i="30"/>
  <c r="C74" i="29"/>
  <c r="C92" i="24"/>
  <c r="E9" i="22"/>
  <c r="E22" i="22" s="1"/>
  <c r="F22" i="22" s="1"/>
  <c r="F23" i="22" s="1"/>
  <c r="C10" i="44"/>
  <c r="C20" i="44" s="1"/>
  <c r="C21" i="30"/>
  <c r="C58" i="10"/>
  <c r="C73" i="10" s="1"/>
  <c r="C30" i="47"/>
  <c r="C42" i="47" s="1"/>
  <c r="C39" i="49"/>
  <c r="E16" i="16"/>
  <c r="E13" i="16"/>
  <c r="E20" i="16"/>
  <c r="E12" i="16"/>
  <c r="E18" i="16"/>
  <c r="E17" i="16" l="1"/>
  <c r="E10" i="16"/>
  <c r="E22" i="16" s="1"/>
  <c r="F9" i="23"/>
  <c r="C27" i="24"/>
  <c r="D27" i="24"/>
  <c r="E27" i="24" s="1"/>
  <c r="C28" i="11"/>
  <c r="C31" i="11"/>
  <c r="D31" i="11" s="1"/>
  <c r="D32" i="11" s="1"/>
  <c r="C27" i="11"/>
  <c r="D27" i="11" s="1"/>
  <c r="C29" i="11"/>
  <c r="D29" i="11" s="1"/>
  <c r="E23" i="16"/>
  <c r="D28" i="30"/>
  <c r="E28" i="30" s="1"/>
  <c r="C28" i="30"/>
</calcChain>
</file>

<file path=xl/sharedStrings.xml><?xml version="1.0" encoding="utf-8"?>
<sst xmlns="http://schemas.openxmlformats.org/spreadsheetml/2006/main" count="6528" uniqueCount="435">
  <si>
    <t xml:space="preserve">Tên gói thầu </t>
  </si>
  <si>
    <t>Nguồn vốn</t>
  </si>
  <si>
    <t>Hình thức lựa chọn nhà thầu</t>
  </si>
  <si>
    <t>Phương thức lựa chọn nhà thầu</t>
  </si>
  <si>
    <t>Thời gian bắt đầu tổ chức lựa chọn nhà thầu</t>
  </si>
  <si>
    <t>Loại hợp đồng</t>
  </si>
  <si>
    <t xml:space="preserve">Thời gian thực hiện hợp đồng </t>
  </si>
  <si>
    <t>Gói thầu số 03: Toàn bộ phần xây lắp</t>
  </si>
  <si>
    <t>Gói thầu số 01: Khảo sát đánh giá hiện trạng</t>
  </si>
  <si>
    <t>Gói thầu số 02: Chi phí lập báo cáo kinh tế kỹ thuật</t>
  </si>
  <si>
    <t>Gói thầu số 04: Bảo hiểm xây dựng</t>
  </si>
  <si>
    <t>Ngân sách Nhà nước</t>
  </si>
  <si>
    <t>Giá gói thầu</t>
  </si>
  <si>
    <t>Chỉ định thầu</t>
  </si>
  <si>
    <t>Một giai đoạn 01 túi hồ sơ</t>
  </si>
  <si>
    <t>Đã thực hiện</t>
  </si>
  <si>
    <t>Trọn gói</t>
  </si>
  <si>
    <t>10 ngày</t>
  </si>
  <si>
    <t>85 ngày</t>
  </si>
  <si>
    <t>Theo Gói thầu số 03</t>
  </si>
  <si>
    <t xml:space="preserve">Tổng cộng các gói thầu: </t>
  </si>
  <si>
    <t>TT</t>
  </si>
  <si>
    <t>Đã tổ chức lựa chọn nhà thầu vào tháng 4/2017</t>
  </si>
  <si>
    <t>40 ngày</t>
  </si>
  <si>
    <t>PHỤ LỤC ĐIỀU CHỈNH KẾ HOẠCH LỰA CHỌN NHÀ THẦU</t>
  </si>
  <si>
    <t>ĐVT: 1000VNĐ</t>
  </si>
  <si>
    <t>(Kèm theo Tờ trình số     /TTr-QLDA ngày      /      /2017 của Ban QLDA đầu tư xây dựng khu vực huyện Phong Điền)</t>
  </si>
  <si>
    <t>PHỤ LỤC KẾ HOẠCH LỰA CHỌN NHÀ THẦU</t>
  </si>
  <si>
    <t>(Kèm theo Tờ trình số 43/TTr-TCKH ngày 12 tháng 5 năm 2017 của Phòng Tài chính-Kế hoạch huyện Phong Điền)</t>
  </si>
  <si>
    <t>(Kèm theo Quyết định số          /QĐ-UBND ngày      tháng     năm 2017 của UBND huyện Phong Điền)</t>
  </si>
  <si>
    <t>ĐVT: 1000 đồng</t>
  </si>
  <si>
    <t>(Kèm theo Quyết định số           /QĐ-UBND ngày      tháng     năm 2017 của UBND huyện Phong Điền)</t>
  </si>
  <si>
    <t>Gói thầu số 03: Toàn bộ phần thi công xây lắp</t>
  </si>
  <si>
    <t>Gói thầu số 04: Giám sát thi công xây dựng công trình</t>
  </si>
  <si>
    <t>Gói thầu số 05: Bảo hiểm xây dựng</t>
  </si>
  <si>
    <t>Ngân sách nhà nước và huy động hợp pháp khác</t>
  </si>
  <si>
    <t>Đã tổ chức lựa chọn nhà thầu vào tháng 6/2017</t>
  </si>
  <si>
    <t>60 ngày</t>
  </si>
  <si>
    <t>Theo Gói thầu số 04</t>
  </si>
  <si>
    <t>ĐVT: đồng</t>
  </si>
  <si>
    <t>Gói thầu số 03: Tư vấn lập hồ sơ mời thầu và đánh giá hồ sơ dự thầu</t>
  </si>
  <si>
    <t>Gói thầu số 05: Thuê quản lý dự án</t>
  </si>
  <si>
    <t>Tập đoàn dầu khí Việt Nam và Ngân sách Nhà nước</t>
  </si>
  <si>
    <t>Đấu thầu</t>
  </si>
  <si>
    <t>Quý IV năm 2017</t>
  </si>
  <si>
    <t>20 ngày</t>
  </si>
  <si>
    <t>Theo hợp đồng</t>
  </si>
  <si>
    <t>120 ngày</t>
  </si>
  <si>
    <t>Theo gói thầu số 06</t>
  </si>
  <si>
    <t>Gói thầu số 06: Toàn bộ phần thi công xây lắp</t>
  </si>
  <si>
    <t>Gói thầu số 07: Giám sát thi công xây dựng công trình</t>
  </si>
  <si>
    <t>Gói thầu số 08: Bảo hiểm xây dựng</t>
  </si>
  <si>
    <t>Gói thầu số 04: Tư vấn thẩm định hồ sơ mời thàu và kết quả đấu thầu</t>
  </si>
  <si>
    <t>(Kèm theo Tờ trình số: 92/TTr-TCKH ngày 28 tháng 10 năm 2017 của Phòng Tài chính-Kế hoạch huyện Phong Điền)</t>
  </si>
  <si>
    <t>(Kèm theo Quyết định số            /QĐ-UBND ngày      tháng     năm 2017 của UBND huyện Phong Điền)</t>
  </si>
  <si>
    <t>Gói thầu số 04: Tư vấn đánh giá hồ sơ dự thầu</t>
  </si>
  <si>
    <t>Quý II năm 2018</t>
  </si>
  <si>
    <t xml:space="preserve">I </t>
  </si>
  <si>
    <t>Phần công việc không tổ chức lựa chọn nhà thầu</t>
  </si>
  <si>
    <t>Phần công việc tổ chức lựa chọn nhà thầu</t>
  </si>
  <si>
    <t>II</t>
  </si>
  <si>
    <t>Thẩm định Báo cáo kinh tế-kỹ thuật</t>
  </si>
  <si>
    <t>Gói thầu số 01: Tư vấn khảo sát địa chất, lập Báo cáo KTKT và đánh giá hiện trạng công trình</t>
  </si>
  <si>
    <t>Chi phí quyết toán</t>
  </si>
  <si>
    <t xml:space="preserve">Tổng cộng </t>
  </si>
  <si>
    <t>Ghi chú</t>
  </si>
  <si>
    <t>30 ngày</t>
  </si>
  <si>
    <t>Gói thầu số 04: Thuê tư vấn quản lý dự án</t>
  </si>
  <si>
    <t>Gói thầu số 05: Toàn bộ phần thi công xây lắp</t>
  </si>
  <si>
    <t>Gói thầu số 06: Giám sát thi công xây dựng công trình</t>
  </si>
  <si>
    <t>Gói thầu số 07: Bảo hiểm xây dựng</t>
  </si>
  <si>
    <t>Theo gói thầu số 05</t>
  </si>
  <si>
    <t>Đấu thầu rộng rãi trong nước</t>
  </si>
  <si>
    <t>(Kèm theo Quyết định số            /QĐ-UBND ngày      tháng 3  năm 2018 của UBND huyện Phong Điền)</t>
  </si>
  <si>
    <t>(Kèm theo Tờ trình số: 13/TTr-TCKH ngày 20 tháng 3 năm 2018 của Phòng Tài chính-Kế hoạch huyện Phong Điền)</t>
  </si>
  <si>
    <t>Phần công việc đã thực hiện</t>
  </si>
  <si>
    <t>Phần công việc chưa thực hiện</t>
  </si>
  <si>
    <t>-</t>
  </si>
  <si>
    <t>a</t>
  </si>
  <si>
    <t>Thẩm định HSMT và HSDT</t>
  </si>
  <si>
    <t>Gói thầu số 02: Thẩm tra thiết kế BVTC và dự toán</t>
  </si>
  <si>
    <t>b</t>
  </si>
  <si>
    <t>Cơ quan nhà nước</t>
  </si>
  <si>
    <r>
      <t xml:space="preserve">Giá gói thầu  </t>
    </r>
    <r>
      <rPr>
        <sz val="12"/>
        <rFont val="Times New Roman"/>
        <family val="1"/>
      </rPr>
      <t>(đồng)</t>
    </r>
  </si>
  <si>
    <t>CỘNG HÒA XÃ HỘI CHỦ NGHĨA VIỆT NAM</t>
  </si>
  <si>
    <t>Độc lập - Tự do - Hạnh phúc</t>
  </si>
  <si>
    <t>BẢNG TỔNG HỢP CHI PHÍ DỰ TOÁN</t>
  </si>
  <si>
    <t>ĐỊA ĐIỂM XD: TT PHONG ĐIỀN, XÃ PHONG MỸ, PHONG HÒA, HUYỆN PHONG ĐIỀN</t>
  </si>
  <si>
    <t xml:space="preserve"> </t>
  </si>
  <si>
    <t>Hạng mục chi phí</t>
  </si>
  <si>
    <t>Ký
hiệu</t>
  </si>
  <si>
    <t>Cách tính</t>
  </si>
  <si>
    <t>Thành tiền</t>
  </si>
  <si>
    <t>Chi phí xây dựng:</t>
  </si>
  <si>
    <t>G1</t>
  </si>
  <si>
    <t>Chi phí quản lý dự án:</t>
  </si>
  <si>
    <t>G3</t>
  </si>
  <si>
    <t>Chi phí tư vấn đầu tư xây dựng:</t>
  </si>
  <si>
    <t>G4</t>
  </si>
  <si>
    <t>TV1</t>
  </si>
  <si>
    <t>TV2</t>
  </si>
  <si>
    <t>TV3</t>
  </si>
  <si>
    <t>TV4</t>
  </si>
  <si>
    <t>TV5</t>
  </si>
  <si>
    <t xml:space="preserve">  - Lập hồ sơ mời thầu, chọn thầu XD</t>
  </si>
  <si>
    <t xml:space="preserve">  - Giám sát thi công xây dựng</t>
  </si>
  <si>
    <t>Chi phí khác:</t>
  </si>
  <si>
    <t>G5</t>
  </si>
  <si>
    <t xml:space="preserve">  - Hạng mục chung</t>
  </si>
  <si>
    <t>K1</t>
  </si>
  <si>
    <t>K2</t>
  </si>
  <si>
    <t>K3</t>
  </si>
  <si>
    <t xml:space="preserve">  - Thẩm định hồ sơ mời thầu </t>
  </si>
  <si>
    <t>K4</t>
  </si>
  <si>
    <t xml:space="preserve">  - Thẩm định kết quả LCNT </t>
  </si>
  <si>
    <t>K5</t>
  </si>
  <si>
    <t xml:space="preserve">  - Quyết toán công trình</t>
  </si>
  <si>
    <t>K6</t>
  </si>
  <si>
    <t xml:space="preserve">  - Bảo hiểm công trình</t>
  </si>
  <si>
    <t>Chi phí dự phòng:</t>
  </si>
  <si>
    <t>DP1</t>
  </si>
  <si>
    <t/>
  </si>
  <si>
    <t xml:space="preserve">  - Do yếu tố khối lượng phát sinh</t>
  </si>
  <si>
    <t>G</t>
  </si>
  <si>
    <t>4</t>
  </si>
  <si>
    <t>Tổng cộng(1+2+3+4+5)</t>
  </si>
  <si>
    <t>Theo kết quả thẩm tra</t>
  </si>
  <si>
    <t>Gói thầu số 01: Tư vấn khảo sát địa hình và Lập Báo cáo KTKT</t>
  </si>
  <si>
    <t>Chi phí xây dựng+chi phí hạng mục chung và chi phí dự phòng</t>
  </si>
  <si>
    <t xml:space="preserve">Gói thầu số 01: Tư vấn khảo sát địa chất và Lập hồ sơ Báo cáo KTKT </t>
  </si>
  <si>
    <t>90 ngày</t>
  </si>
  <si>
    <t xml:space="preserve">  - Lập BCKTKT</t>
  </si>
  <si>
    <t xml:space="preserve">  - Thẩm tra thiết kế và dự toán</t>
  </si>
  <si>
    <t xml:space="preserve">  - Thẩm định Báo cáo KTKT</t>
  </si>
  <si>
    <t>G2</t>
  </si>
  <si>
    <t>TV1+...+TV5</t>
  </si>
  <si>
    <t>G1+...+G5</t>
  </si>
  <si>
    <t>CÔNG TRÌNH: Đường liên thôn Trạch Phổ-Thuận Hòa, Chùa Thiềm Thượng, xã Phong Hòa</t>
  </si>
  <si>
    <t xml:space="preserve">  - Chi phí khảo sát địa hình</t>
  </si>
  <si>
    <t>K1+...+K6</t>
  </si>
  <si>
    <t>(Kèm theo Tờ trình số: 15/TTr-TCKH ngày 20 tháng 3 năm 2018 của Phòng Tài chính-Kế hoạch huyện Phong Điền)</t>
  </si>
  <si>
    <t>(Kèm theo Tờ trình số: 14/TTr-TCKH ngày 20 tháng 3 năm 2018 của Phòng Tài chính-Kế hoạch huyện Phong Điền)</t>
  </si>
  <si>
    <t>Chi phí quản lý dự án</t>
  </si>
  <si>
    <t>(Kèm theo Tờ trình số: 16/TTr-TCKH ngày 20 tháng 3 năm 2018 của Phòng Tài chính-Kế hoạch huyện Phong Điền)</t>
  </si>
  <si>
    <t xml:space="preserve">  - Chi phí khảo sát và Lập BCKTK</t>
  </si>
  <si>
    <t xml:space="preserve">  - Thẩm định HTMT và kết quả LCNT </t>
  </si>
  <si>
    <r>
      <t xml:space="preserve">CÔNG TRÌNH: </t>
    </r>
    <r>
      <rPr>
        <sz val="13"/>
        <rFont val="Times New Roman"/>
        <family val="1"/>
      </rPr>
      <t>Đường giao thông nông thôn vào vùng kinh tế trang trại Xóm Bàu</t>
    </r>
  </si>
  <si>
    <t>Trần Văn Tân</t>
  </si>
  <si>
    <t>Chuyên viên</t>
  </si>
  <si>
    <t>TV1+...+TV4</t>
  </si>
  <si>
    <t>K1+...+K5</t>
  </si>
  <si>
    <t>CÔNG TRÌNH: Trường Mầm non Phong Thu</t>
  </si>
  <si>
    <t xml:space="preserve">  - Chi phí Lập BCKTK</t>
  </si>
  <si>
    <t>180 ngày</t>
  </si>
  <si>
    <t>(Kèm theo Tờ trình số: 17/TTr-TCKH ngày 20 tháng 3 năm 2018 của Phòng Tài chính-Kế hoạch huyện Phong Điền)</t>
  </si>
  <si>
    <t xml:space="preserve">Gói thầu số 01: Tư vấn khảo sát địa hình và Lập hồ sơ Báo cáo KTKT </t>
  </si>
  <si>
    <t>Theo gói thầu số 03</t>
  </si>
  <si>
    <t>75 ngày</t>
  </si>
  <si>
    <t>Chi phí dự phòng</t>
  </si>
  <si>
    <t xml:space="preserve">  DỰ TOÁN TỔNG MỨC ĐẦU TƯ</t>
  </si>
  <si>
    <t>CÔNG TRÌNH: ĐƯỜNG DÂN SINH KẾT HỢP SẢN XUẤT THÔN 1, XÃ ĐIỀN HÒA</t>
  </si>
  <si>
    <t>Ký hiệu</t>
  </si>
  <si>
    <t xml:space="preserve">Thành Tiền </t>
  </si>
  <si>
    <t>I</t>
  </si>
  <si>
    <t>Chi phí xây lắp</t>
  </si>
  <si>
    <t>A1+A2</t>
  </si>
  <si>
    <t>Tuyến thôn 1</t>
  </si>
  <si>
    <t>A1</t>
  </si>
  <si>
    <t>Tuyến kiệt ông Lý</t>
  </si>
  <si>
    <t>A2</t>
  </si>
  <si>
    <t>III</t>
  </si>
  <si>
    <t>G1*2,936%*0,8</t>
  </si>
  <si>
    <t>IV</t>
  </si>
  <si>
    <t>Chi phí tư vấn đầu tư</t>
  </si>
  <si>
    <t>TV1+…+TV6</t>
  </si>
  <si>
    <t>Chi phí khảo sát</t>
  </si>
  <si>
    <t>Dự toán thẩm định</t>
  </si>
  <si>
    <t>Chi phí lập BCKTKT</t>
  </si>
  <si>
    <t>G1*5,4%</t>
  </si>
  <si>
    <t>Chi phí thẩm tra BCKTKT</t>
  </si>
  <si>
    <t>G1*(0,17+0,166)%*1,2</t>
  </si>
  <si>
    <t>Chi phí lập HSYC, đánh giá HSĐX</t>
  </si>
  <si>
    <t>G1*0,346%*0,6</t>
  </si>
  <si>
    <t>Chi phía thẩm định HSYC, kết quả lựa chọn nhà thầu</t>
  </si>
  <si>
    <t>Tối thiểu</t>
  </si>
  <si>
    <t>Chi phí giám sát thi công xây dựng</t>
  </si>
  <si>
    <t>TV6</t>
  </si>
  <si>
    <t>G1*3,203%</t>
  </si>
  <si>
    <t>V</t>
  </si>
  <si>
    <t>Chi phí khác</t>
  </si>
  <si>
    <t>K1+…+K4</t>
  </si>
  <si>
    <t>Chi phí hạng mục chung</t>
  </si>
  <si>
    <t>G1*4%</t>
  </si>
  <si>
    <t>Chi phí thẩm định BCKTKT CQCM QLNN</t>
  </si>
  <si>
    <t>TMĐT*0,019%*0,5</t>
  </si>
  <si>
    <t>Bảo hiểm công trình</t>
  </si>
  <si>
    <t>G1*0,215%</t>
  </si>
  <si>
    <t>Chi phí thẩm tra, phê duyệt quyết toán</t>
  </si>
  <si>
    <t>TMĐT*0,95%</t>
  </si>
  <si>
    <t>(G1+…+G4)*5%</t>
  </si>
  <si>
    <t>Tổng cộng:</t>
  </si>
  <si>
    <t>G1+…+G5</t>
  </si>
  <si>
    <t>Gói thầu số 03: Tư vấn lập hồ sơ yêu cầu và đánh giá hồ sơ đề xuất</t>
  </si>
  <si>
    <t>Gói thầu số 04: Thẩm định hồ sơ yêu cầu và đánh giá kết quả lựa chọn nhà thầu</t>
  </si>
  <si>
    <t xml:space="preserve">Chi phí xây dựng+chi phí hạng mục chung </t>
  </si>
  <si>
    <t>(Kèm theo Tờ trình số: 18/TTr-TCKH ngày 20 tháng 3 năm 2018 của Phòng Tài chính-Kế hoạch huyện Phong Điền)</t>
  </si>
  <si>
    <t>(Kèm theo Tờ trình số: 19/TTr-TCKH ngày 20 tháng 3 năm 2018 của Phòng Tài chính-Kế hoạch huyện Phong Điền)</t>
  </si>
  <si>
    <t>(Kèm theo Tờ trình số:  20/TTr-TCKH ngày 20 tháng 3 năm 2018 của Phòng Tài chính-Kế hoạch huyện Phong Điền)</t>
  </si>
  <si>
    <t xml:space="preserve">  - Chi phí khảo sát </t>
  </si>
  <si>
    <r>
      <t xml:space="preserve">CÔNG TRÌNH: </t>
    </r>
    <r>
      <rPr>
        <sz val="14"/>
        <rFont val="Times New Roman"/>
        <family val="1"/>
      </rPr>
      <t>Trạm bơm Mạc Nậy+Vìn, xã Phong Bình</t>
    </r>
  </si>
  <si>
    <t>(Kèm theo Tờ trình số: 21/TTr-TCKH ngày 20 tháng 3 năm 2018 của Phòng Tài chính-Kế hoạch huyện Phong Điền)</t>
  </si>
  <si>
    <t>(Kèm theo Tờ trình số: 29a/TTr-UBND ngày 18 tháng 3 năm 2018 của UBND xã Phong Bình)</t>
  </si>
  <si>
    <t>Chi phí xây dựng+chi phí hạng mục chung</t>
  </si>
  <si>
    <t xml:space="preserve">Gói thầu số 01: Tư vấn khảo sát và Lập hồ sơ Báo cáo KTKT </t>
  </si>
  <si>
    <t>Gói thầu số 05: Toàn bộ phần  chi phí xây lắp+ Chi phí thiết bị và chi phí hạng mục chung</t>
  </si>
  <si>
    <t>Gói thầu số 06: Giám sát thi công xây dựng  và lắp đặt thiết bị công trình</t>
  </si>
  <si>
    <t>Chi phí xây lắp+ Chi phí thiết bị và chi phí hạng mục chung</t>
  </si>
  <si>
    <t>CÔNG TRÌNH: TRẠM BƠM HÓI DƯƠNG, XÃ ĐIỀN HÒA</t>
  </si>
  <si>
    <t>Chi phí thiết bị</t>
  </si>
  <si>
    <t>5</t>
  </si>
  <si>
    <t xml:space="preserve">  - Chi phí khảo sát + Lập BCKTK</t>
  </si>
  <si>
    <t xml:space="preserve">  - Giám sát thi công xây dựng và thiết bị</t>
  </si>
  <si>
    <t>G1+...+G6</t>
  </si>
  <si>
    <t>Tổng cộng(1+2+3+4+5+6)</t>
  </si>
  <si>
    <t>G6</t>
  </si>
  <si>
    <t>150 ngày</t>
  </si>
  <si>
    <t>(Kèm theo Tờ trình số: 22/TTr-TCKH ngày 20 tháng 3 năm 2018 của Phòng Tài chính-Kế hoạch huyện Phong Điền)</t>
  </si>
  <si>
    <t>G11</t>
  </si>
  <si>
    <t>G12</t>
  </si>
  <si>
    <t>G13</t>
  </si>
  <si>
    <t>G14</t>
  </si>
  <si>
    <t>c</t>
  </si>
  <si>
    <t>d</t>
  </si>
  <si>
    <t>Nút giao Đường tỉnh 9 và Đường tỉnh 6</t>
  </si>
  <si>
    <t>Nút giao Quốc lộ 49B và Đường tỉnh 4</t>
  </si>
  <si>
    <t>Nút giao Quốc lộ 1A và Đường tỉnh 17</t>
  </si>
  <si>
    <t>G11+...+G14</t>
  </si>
  <si>
    <t>Lập BCKTK</t>
  </si>
  <si>
    <t xml:space="preserve"> Thẩm tra thiết kế và dự toán</t>
  </si>
  <si>
    <t>Giám sát thi công xây dựng và thiết bị</t>
  </si>
  <si>
    <t>TV21</t>
  </si>
  <si>
    <t>TV22</t>
  </si>
  <si>
    <t>TV23</t>
  </si>
  <si>
    <t>TV21+...+TV23</t>
  </si>
  <si>
    <t>Chi phí thiết kế lần đầu</t>
  </si>
  <si>
    <t>Chi phí thiết kế lần 2 (lặp lại cụm công trình)</t>
  </si>
  <si>
    <t>Chi phí thiết kế lần 3 (lặp lại cụm công trình)</t>
  </si>
  <si>
    <t>G12*5,4%*0,36</t>
  </si>
  <si>
    <t>(G13+G14)*5,4%*0,18</t>
  </si>
  <si>
    <t>0,95%*TMĐT</t>
  </si>
  <si>
    <t>Tạm tính</t>
  </si>
  <si>
    <t>G11*5,4%*1,0</t>
  </si>
  <si>
    <t>K1+...+K4</t>
  </si>
  <si>
    <r>
      <t xml:space="preserve">CÔNG TRÌNH: </t>
    </r>
    <r>
      <rPr>
        <b/>
        <sz val="14"/>
        <rFont val="Times New Roman"/>
        <family val="1"/>
      </rPr>
      <t>Lắp đặt các cụm đèn tín hiệu trên địa bàn huyện Phong Điền</t>
    </r>
  </si>
  <si>
    <t xml:space="preserve"> Chi phí khảo sát địa hình (hỗ trợ)</t>
  </si>
  <si>
    <t>hỗ trợ</t>
  </si>
  <si>
    <t>Nút giao Quốc lộ 1A và Đường tỉnh 11B và Đường tỉnh 11A</t>
  </si>
  <si>
    <t>(Kèm theo Quyết định số            /QĐ-UBND ngày      tháng 6  năm 2018 của UBND huyện Phong Điền)</t>
  </si>
  <si>
    <t>Gói thầu số 03: Toàn bộ phần  chi phí xây lắp+ Chi phí thiết bị và chi phí hạng mục chung</t>
  </si>
  <si>
    <t>Gói thầu số 04: Giám sát thi công xây dựng  và lắp đặt thiết bị công trình</t>
  </si>
  <si>
    <t>(Kèm theo Quyết định số            /QĐ-UBND ngày      tháng 7  năm 2018 của UBND huyện Phong Điền)</t>
  </si>
  <si>
    <t xml:space="preserve">Gói thầu số 01: Tư vấn khảo sát địa hình, địa chất  và Lập hồ sơ Báo cáo KTKT </t>
  </si>
  <si>
    <t>Chi phí thẩm tra Báo cáo KTKT</t>
  </si>
  <si>
    <t>Giám sát thi công xây dựng</t>
  </si>
  <si>
    <t>Thẩm tra phê duyệt quyết toán</t>
  </si>
  <si>
    <t>Thẩm định HSMT và KQĐT</t>
  </si>
  <si>
    <t>Đền bù, GPMB</t>
  </si>
  <si>
    <t>Dự phòng phí:</t>
  </si>
  <si>
    <t>Gói thầu số 02: Tư vấn lập hồ sơ mời thầu và đánh giá hồ sơ dự thầu</t>
  </si>
  <si>
    <t>Gói thầu số 03: Toàn bộ phần  chi phí xây lắp công trình</t>
  </si>
  <si>
    <t>Thẩm định Báo cáo KTKT</t>
  </si>
  <si>
    <t xml:space="preserve">Ngân sách nhà nước </t>
  </si>
  <si>
    <t>Ngân sách nhà nước</t>
  </si>
  <si>
    <t>Quý III năm 2018</t>
  </si>
  <si>
    <t>Một giai đoạn 02 túi hồ sơ</t>
  </si>
  <si>
    <t>gồm chi phí xây lắp và chi phí hạng mục chung</t>
  </si>
  <si>
    <t>(Kèm theo Tờ trình số: 38/TTr-TCKH ngày 06 tháng 7 năm 2018 của Phòng Tài chính-Kế hoạch huyện Phong Điền)</t>
  </si>
  <si>
    <t xml:space="preserve">Gói thầu số 01: Tư vấn khảo sát địa hình Lập hồ sơ Báo cáo KTKT </t>
  </si>
  <si>
    <t>Gói thầu số 02: Toàn bộ phần  chi phí xây lắp công trình</t>
  </si>
  <si>
    <t>Gói thầu số 03: Bảo hiểm xây dựng</t>
  </si>
  <si>
    <t>Theo gói thầu số 02</t>
  </si>
  <si>
    <t>(Kèm theo Tờ trình số: 43/TTr-TCKH ngày 12 tháng 7 năm 2018 của Phòng Tài chính-Kế hoạch huyện Phong Điền)</t>
  </si>
  <si>
    <t>(Kèm theo Quyết định số            /QĐ-UBND ngày      tháng  8  năm 2018 của UBND huyện Phong Điền)</t>
  </si>
  <si>
    <t>Quý IV năm 2018</t>
  </si>
  <si>
    <t>Chi phí xây lắp và chi phí hạng mục chung</t>
  </si>
  <si>
    <t>(Kèm theo Tờ trình số: 46/TTr-TCKH ngày 14 tháng 8 năm 2018 của Phòng Tài chính-Kế hoạch huyện Phong Điền)</t>
  </si>
  <si>
    <t>Ngân sách nhà nước.</t>
  </si>
  <si>
    <t>Gói thầu số 05: Toàn bộ phần  chi phí xây lắp và chi phí hạng mục chung</t>
  </si>
  <si>
    <t>Gói thầu số 06: Giám sát thi công xây lắp công trình</t>
  </si>
  <si>
    <t>(Kèm theo Quyết định số            /QĐ-UBND ngày      tháng 8  năm 2018 của UBND huyện Phong Điền)</t>
  </si>
  <si>
    <t xml:space="preserve">Gói thầu số 01: Tư vấn Lập hồ sơ Báo cáo KTKT </t>
  </si>
  <si>
    <t>Gói thầu số 03: Toàn bộ phần  chi phí xây lắp và chi phí hạng mục chung</t>
  </si>
  <si>
    <t>15 ngày</t>
  </si>
  <si>
    <t>(Kèm theo Tờ trình số: 48/TTr-TCKH ngày 16 tháng 8 năm 2018 của Phòng Tài chính-Kế hoạch huyện Phong Điền)</t>
  </si>
  <si>
    <t>Thẩm tra thiết kế BVTC và dự toán</t>
  </si>
  <si>
    <t>Gói thầu số 02: Toàn bộ phần  chi phí xây lắp và chi phí hạng mục chung</t>
  </si>
  <si>
    <t>Gói thầu số 03: Giám sát thi công xây dựng  và lắp đặt thiết bị công trình</t>
  </si>
  <si>
    <t xml:space="preserve">Giám sát thi công xây dựng </t>
  </si>
  <si>
    <t>(Kèm theo Quyết định số            /QĐ-UBND ngày      tháng 10  năm 2018 của UBND huyện Phong Điền)</t>
  </si>
  <si>
    <t>Chủ đầu tư thực hiện</t>
  </si>
  <si>
    <t>(Kèm theo Tờ trình số: 60/TTr-TCKH ngày 02 tháng 10 năm 2018 của Phòng Tài chính-Kế hoạch huyện Phong Điền)</t>
  </si>
  <si>
    <t xml:space="preserve">Gói thầu số 01: Tư vấn khảo sát địa hình, địa chất và Lập hồ sơ Báo cáo KTKT </t>
  </si>
  <si>
    <t>Theo gói thầu số 01 và số 05</t>
  </si>
  <si>
    <t>Thẩm định BVTC và dự toán</t>
  </si>
  <si>
    <t>Gói thầu số 03: Chi phí thẩm định giá</t>
  </si>
  <si>
    <t>Gói thầu số 04: Tư vấn lập hồ sơ mời thầu và đánh giá hồ sơ dự thầu</t>
  </si>
  <si>
    <t>Gói thầu số 05: Thuê tư vấn quản lý dự án</t>
  </si>
  <si>
    <t>Gói thầu số 06: Toàn bộ phần thi công xây lắp và thiết bị</t>
  </si>
  <si>
    <t>Gói thầu số 07: Giám sát thi công xây dựng và thiết bị và khảo sát công trình</t>
  </si>
  <si>
    <t>05 ngày</t>
  </si>
  <si>
    <t>(Kèm theo Tờ trình số: 85/TTr-TCKH ngày 30 tháng 10 năm 2018 của Phòng Tài chính-Kế hoạch huyện Phong Điền)</t>
  </si>
  <si>
    <t>(Kèm theo Tờ trình số: 115/TTr-UBND ngày 22 tháng 10 năm 2018 của UBND xã Phong Bình)</t>
  </si>
  <si>
    <t>(Kèm theo Quyết định số            /QĐ-UBND ngày      tháng 11  năm 2018 của UBND huyện Phong Điền)</t>
  </si>
  <si>
    <t>45 ngày</t>
  </si>
  <si>
    <t xml:space="preserve">Chi phí xây dựng+ thiết bị và chi phí hạng mục chung </t>
  </si>
  <si>
    <t>Gói thầu số 03: Thuê tư vấn quản lý dự án</t>
  </si>
  <si>
    <t>Gói thầu số 04: Toàn bộ phần thi công xây lắp và thiết bị</t>
  </si>
  <si>
    <t>Gói thầu số 05: Giám sát thi công xây dựng và thiết bị và khảo sát công trình</t>
  </si>
  <si>
    <t>Gói thầu số 06: Bảo hiểm xây dựng</t>
  </si>
  <si>
    <t>Theo gói thầu số 04</t>
  </si>
  <si>
    <t>(Kèm theo Tờ trình số: 90/TTr-TCKH ngày 12 tháng 11 năm 2018 của Phòng Tài chính-Kế hoạch huyện Phong Điền)</t>
  </si>
  <si>
    <t>(Kèm theo Quyết định số 3812/QĐ-UBND ngày  13 tháng 7  năm 2018 của UBND huyện Phong Điền)</t>
  </si>
  <si>
    <t>(Kèm theo Quyết định số   /QĐ-UBND ngày       tháng      năm 2018 của UBND huyện Phong Điền)</t>
  </si>
  <si>
    <t>Quý II năm 2019</t>
  </si>
  <si>
    <t>(Kèm theo Quyết định số             /QĐ-UBND ngày      tháng 3  năm 2019 của UBND huyện Phong Điền)</t>
  </si>
  <si>
    <t xml:space="preserve">Chi phí xây dựng và chi phí hạng mục chung </t>
  </si>
  <si>
    <t>Thẩm định HSMT và kết quả LCNT</t>
  </si>
  <si>
    <t>Gói thầu số 03: Tư vấn lập hồ sơ yêu cầu và  đánh giá hồ sơ đề xuất</t>
  </si>
  <si>
    <t>(Kèm theo Tờ trình số 15 /TTr-TCKH ngày 20 tháng 3  năm 2019 của Phòng Tài chính-Kế hoạch huyện Phong Điền)</t>
  </si>
  <si>
    <t>Ngân sách nhà nước (Trung ương, huyện, xã), nhân dân đóng góp và huy động hợp pháp khác</t>
  </si>
  <si>
    <t xml:space="preserve">Gói thầu số 05: Toàn bộ phần thi công xây lắp </t>
  </si>
  <si>
    <t>(Kèm theo Quyết định số             /QĐ-UBND ngày      tháng    năm 2019 của UBND huyện Phong Điền)</t>
  </si>
  <si>
    <t xml:space="preserve">Gói thầu số 03: Toàn bộ phần thi công xây lắp </t>
  </si>
  <si>
    <t>(Kèm theo Tờ trình số 22 /TTr-TCKH ngày 25 tháng 4  năm 2019 của Phòng Tài chính-Kế hoạch huyện Phong Điền)</t>
  </si>
  <si>
    <t>(Kèm theo Quyết định số             /QĐ-UBND ngày      tháng 5  năm 2019 của UBND huyện Phong Điền)</t>
  </si>
  <si>
    <t>+</t>
  </si>
  <si>
    <t>Phần đã thực hiện</t>
  </si>
  <si>
    <t>Phần bổ sung</t>
  </si>
  <si>
    <t xml:space="preserve">Gói thầu số 05a: Toàn bộ phần thi công xây lắp </t>
  </si>
  <si>
    <t>Chi phí quản lý dự án (60%)</t>
  </si>
  <si>
    <t>Thẩm định dự toán-thiết kế</t>
  </si>
  <si>
    <t>Gói thầu số 04: Thuê tư vấn quản lý dự án (40%)</t>
  </si>
  <si>
    <t>gói 5</t>
  </si>
  <si>
    <t>gói 5a</t>
  </si>
  <si>
    <t>Thực hiện theo Quyết định số 6339/QĐ-UBND ngày 30/11/2017 của UBND huyện Phong Điền</t>
  </si>
  <si>
    <t>Năm 2017 và quý II năm 2019</t>
  </si>
  <si>
    <t>Năm 2017</t>
  </si>
  <si>
    <t>Đấu thầu rộng rải trong nước</t>
  </si>
  <si>
    <t>Theo gói thầu số 05 và 05a</t>
  </si>
  <si>
    <t>Qúy IV năm 2017 và quý II năm 2019</t>
  </si>
  <si>
    <t xml:space="preserve">Gói thầu số 05: Toàn bộ phần thi công xây lắp (Đường từ TL4-thôn Trung Thạnh (nhà O Luyến): 171,97m.
- Đường từ TL4-độn cát thôn Trung Thạnh: 282,16m.
- Đường từ TL4-đường ngang Trung Thạnh-Chính An: 128,66m.
- Đường từ TL4-độn cát thôn Mỹ Phú (họ Nguyễn Côi): 339,07m
 </t>
  </si>
  <si>
    <t>Gói thầu số 05a: Phần thi công xây lắp đoạn 1 (từ cọc KO đến hết cọc 97)</t>
  </si>
  <si>
    <t>Đấu thầu rộng rãi</t>
  </si>
  <si>
    <t>Chi phí xây dựng đoạn 1 và chi phí hạng mục chung đoạn 1</t>
  </si>
  <si>
    <t>Gói thầu số 5b: Phần thi công xây lắp đoạn 02 (từ cọc 97 đến hết cọc 172)</t>
  </si>
  <si>
    <t>Theo gói thầu số 05a và 5b</t>
  </si>
  <si>
    <t>Chi phí quản lý dự án (60%-chủ đầu tư thực hiện)</t>
  </si>
  <si>
    <t>Chi phí xây dựng đoạn 2 và chi phí hạng mục chung đoạn 2</t>
  </si>
  <si>
    <t>(Kèm theo Tờ trình số  40 /TTr-UBND ngày 05 tháng 4  năm 2019 của UBND xã Điền Hòa)</t>
  </si>
  <si>
    <t xml:space="preserve">Gói thầu số 05: Phần thi công xây lắp </t>
  </si>
  <si>
    <r>
      <t xml:space="preserve">Giá gói thầu  </t>
    </r>
    <r>
      <rPr>
        <sz val="12"/>
        <color indexed="9"/>
        <rFont val="Times New Roman"/>
        <family val="1"/>
      </rPr>
      <t>(đồng)</t>
    </r>
  </si>
  <si>
    <t>270 ngày</t>
  </si>
  <si>
    <t xml:space="preserve">Đấu thầu rộng rãi </t>
  </si>
  <si>
    <t>(Kèm theo Tờ trình số  30 /TTr-TCKH ngày 28 tháng 5  năm 2019 của Phòng Tài chính-Kế hoạch huyện Phong Điền)</t>
  </si>
  <si>
    <t>(Kèm theo Quyết định số                 /QĐ-UBND ngày           tháng       năm 2019 của UBND huyện Phong Điền)</t>
  </si>
  <si>
    <t>(Kèm theo Quyết định số             /QĐ-UBND ngày      tháng     năm 2019 của UBND huyện Phong Điền)</t>
  </si>
  <si>
    <t>Thẩm định giá</t>
  </si>
  <si>
    <t>Tháng 6-7 năm 2019</t>
  </si>
  <si>
    <t>(Kèm theo Tờ trình số 28 /TTr-TCKH ngày 20 tháng 6  năm 2019 của Phòng Tài chính-Kế hoạch huyện Phong Điền)</t>
  </si>
  <si>
    <t>Gói thầu số 04: Thẩm định hồ sơ mời thầu, hồ sơ dự thầu</t>
  </si>
  <si>
    <t xml:space="preserve">Gói thầu số 06: Toàn bộ phần thi công xây lắp </t>
  </si>
  <si>
    <t>Gói thầu số 03: Lập hồ sơ mời thầu, đánh giá hồ sơ dự thầu</t>
  </si>
  <si>
    <t>Gói thầu số 07: Giám sát thi công xây dựng và thiết bị công trình</t>
  </si>
  <si>
    <t xml:space="preserve">Nguồn ngân sách Trung ương; đối ứng ngân sách địa phương, nhân dân đóng góp và các nguồn huy động hợp pháp khác
</t>
  </si>
  <si>
    <t>Quý I-II năm 2020</t>
  </si>
  <si>
    <t xml:space="preserve">Chi phí xây dựng, thiết bị  và chi phí hạng mục chung </t>
  </si>
  <si>
    <t>Gói thầu số 05: Thuê tư vấn quản lý dự án (60%)</t>
  </si>
  <si>
    <t>Quản lý dự án (CĐT thực hiện 40%)</t>
  </si>
  <si>
    <t>(Kèm theo Quyết định số             /QĐ-UBND ngày      tháng     năm 2020 của UBND huyện Phong Điền)</t>
  </si>
  <si>
    <t xml:space="preserve">Gói thầu số 01: Tư vấn khảo sát, Lập hồ sơ Báo cáo KTKT </t>
  </si>
  <si>
    <t>Quý I năm 2020</t>
  </si>
  <si>
    <t>Gói thầu số 05: Giám sát thi công xây dựng công trình</t>
  </si>
  <si>
    <t>(Kèm theo Tờ trình số           /TTr-TCKH ngày            tháng      năm 2020 của Phòng Tài chính-Kế hoạch huyện Phong Điền)</t>
  </si>
  <si>
    <t>Quản lý dự án (CĐT thực hiện 60%)</t>
  </si>
  <si>
    <t>Gói thầu số 03: Thuê tư vấn quản lý dự án (40%)</t>
  </si>
  <si>
    <t>Gói thầu số 04: Toàn bộ phần thi công công trình</t>
  </si>
  <si>
    <t>(Kèm theo Tờ trình số 14/TTr-TCKH ngày  03 tháng 3 năm 2020 của Phòng Tài chính-Kế hoạch huyện Phong Điền)</t>
  </si>
  <si>
    <t>Gói thầu số 05: Thuê tư vấn quản lý dự án (40%)</t>
  </si>
  <si>
    <t>(Kèm theo Tờ trình số 15 /TTr-TCKH ngày 04 tháng 3  năm 2020 của Phòng Tài chính-Kế hoạch huyện Phong Điền)</t>
  </si>
  <si>
    <t>Đấu thầu rộng rãi trong nước (qua mạng)</t>
  </si>
  <si>
    <t>(Kèm theo Quyết định số             /QĐ-UBND ngày       tháng 3   năm 2020 của UBND huyện Phong Điền)</t>
  </si>
  <si>
    <t>(Kèm theo Tờ trình số  17/TTr-TCKH ngày  16 tháng  3 năm 2020 của Phòng Tài chính-Kế hoạch huyện Phong Điền)</t>
  </si>
  <si>
    <t>(Kèm theo Quyết định số             /QĐ-UBND ngày      tháng 3 năm 2020 của UBND huyện Phong Điền)</t>
  </si>
  <si>
    <t>(Kèm theo Tờ trình số  18/TTr-TCKH ngày 16 tháng 3  năm 2020 của Phòng Tài chính-Kế hoạch huyện Phong Điền)</t>
  </si>
  <si>
    <t xml:space="preserve">Gói thầu số 04: Toàn bộ phần thi công xây lắp </t>
  </si>
  <si>
    <t>Thẩm định  giá</t>
  </si>
  <si>
    <t>Quý II năm 2020</t>
  </si>
  <si>
    <t>Nguồn ngân sách Trung ương; đối ứng HTX</t>
  </si>
  <si>
    <t>Gói thầu số 05: Giám sát thi công xây dựng và thiết bị công trình</t>
  </si>
  <si>
    <t>(Kèm theo Tờ trình số  20/TTr-TCKH ngày 19 tháng 3  năm 2020 của Phòng Tài chính-Kế hoạch huyện Phong Điền)</t>
  </si>
  <si>
    <t>(Kèm theo Tờ trình số  19/TTr-TCKH ngày 19 tháng 3  năm 2020 của Phòng Tài chính-Kế hoạch huyện Phong Điền)</t>
  </si>
  <si>
    <t xml:space="preserve">Gói thầu số 06: Toàn bộ phần thi công xây lắp và thiết bị </t>
  </si>
  <si>
    <t>(Kèm theo Tờ trình số  23/TTr-TCKH ngày 30 tháng 3  năm 2020 của Phòng Tài chính-Kế hoạch huyện Phong Điền)</t>
  </si>
  <si>
    <t>(Kèm theo Quyết định số             /QĐ-UBND ngày        tháng        năm 2020 của UBND huyện Phong Điền)</t>
  </si>
  <si>
    <t>(Kèm theo Tờ trình số  24/TTr-TCKH ngày 30 tháng 3  năm 2020 của Phòng Tài chính-Kế hoạch huyện Phong Điền)</t>
  </si>
  <si>
    <t>(Kèm theo Quyết định số             /QĐ-UBND ngày      tháng 4 năm 2020 của UBND huyện Phong Điền)</t>
  </si>
  <si>
    <t>(Kèm theo Tờ trình số  31TTr-TCKH ngày  03 tháng 4  năm 2020 của Phòng Tài chính-Kế hoạch huyện Phong Điền)</t>
  </si>
  <si>
    <t>(Kèm theo Tờ trình số  33TTr-TCKH ngày  07 tháng 4  năm 2020 của Phòng Tài chính-Kế hoạch huyện Phong Điền)</t>
  </si>
  <si>
    <t xml:space="preserve">Gói thầu số 01: Tư vấn khảo sát, Lập hồ sơ Báo cáo KTKT (gồm phần việc đã thực hiện và bổ sung) </t>
  </si>
  <si>
    <t xml:space="preserve">Gói thầu số 02: Thẩm tra thiết kế BVTC và dự toán (gồm phần việc đã thực hiện và bổ sung) </t>
  </si>
  <si>
    <t xml:space="preserve">Thẩm định Báo cáo kinh tế-kỹ thuật (gồm phần việc đã thực hiện và bổ sung) </t>
  </si>
  <si>
    <t>Gói thầu số 05a: Toàn bộ phần thi công xây lắp đoạn 1 (từ cọc K0 đến hết cọc 97)</t>
  </si>
  <si>
    <t>Gói thầu số 05b: Toàn bộ phần thi công xây lắp đoạn 1 (từ cọc 97 đến hết cọc 172)</t>
  </si>
  <si>
    <t xml:space="preserve">Gói thầu số 03: Lập hồ sơ mời thầu, đánh giá hồ sơ dự thầu gồm phần việc đã thực hiện và bổ sung) </t>
  </si>
  <si>
    <t xml:space="preserve">Gói thầu số 05: Thuê tư vấn quản lý dự án (40%) gồm phần việc đã thực hiện và bổ sung) </t>
  </si>
  <si>
    <t xml:space="preserve">Gói thầu số 05c: Toàn bộ phần thi công xây lắp </t>
  </si>
  <si>
    <t>Chi phí HSMT và HSDT</t>
  </si>
  <si>
    <t>Gói thầu số 08: Bảo hiểm xây dựng  (gồm phần việc đã thực hiện và bổ sung)</t>
  </si>
  <si>
    <t>Gói thầu số 07: Giám sát thi công xây dựng và thiết bị công trình (gồm phần việc đã thực hiện và bổ sung)</t>
  </si>
  <si>
    <t>Gói thầu số 01: Lập hồ sơ mời thầu, đánh giá hồ sơ dự thầu</t>
  </si>
  <si>
    <t>Gói thầu số 02: Thẩm định hồ sơ mời thầu, hồ sơ dự thầu</t>
  </si>
  <si>
    <t>(Kèm theo Tờ trình số         /TTr-KTHT  ngày        tháng 05 năm 2020 của Phòng Kinh tế và Hạ tầng huyện Phong Điền)</t>
  </si>
  <si>
    <t>Phần công việc chưa thực hiện mà không áp dụng được một trong các hình thức lựa chọn nhà thầu</t>
  </si>
  <si>
    <t xml:space="preserve">Phần công việc chưa đủ điều kiện để lập kế hoạch lựa chọn nhà thầu </t>
  </si>
  <si>
    <t>Tên gói thầu - Nội dung thực hiện</t>
  </si>
  <si>
    <t xml:space="preserve">Tổng giá trị các phần công việc </t>
  </si>
  <si>
    <t>0</t>
  </si>
  <si>
    <t xml:space="preserve">Nguồn ngân sách nhà nước tạm ứng trước. Nhà đầu tư trúng thầu sẽ hoàn trả theo quy định  </t>
  </si>
  <si>
    <t>Thời gian thực hiện hợp đồng kể từ ngày hợp đồng có hiệu lực đến ngày hoàn thành nghĩa vụ theo quy định trong hợp đồng</t>
  </si>
  <si>
    <t>Gói thầu số 01: Tư vấn xác định giá đất dự kiến</t>
  </si>
  <si>
    <t>Gói thầu số 02: Tư vấn xác định giá sàn nộp ngân sách nhà nước (m3)</t>
  </si>
  <si>
    <t>Tháng 6 năm 2021</t>
  </si>
  <si>
    <t>TƯ VẤN XÁC ĐỊNH GIÁ ĐẤT DỰ KIẾN VÀ GIÁ SÀN NỘP NGÂN SÁCH NHÀ NƯỚC (M3) ĐỐI VỚI DỰ ÁN CÓ SỬ DỤNG ĐẤT 
KHU ĐÔ THỊ PHÍA NAM SÔNG NHƯ Ý, THUỘC KHU E - ĐÔ THỊ MỚI AN VÂN DƯƠNG</t>
  </si>
  <si>
    <t xml:space="preserve">Giá gói thầu
(đồng)  </t>
  </si>
  <si>
    <t>(Kèm theo Quyết định số  1413 /QĐ-UBND ngày  10  tháng  6   năm 2021 của 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</si>
</sst>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_(* #,##0.000_);_(* \(#,##0.000\);_(* &quot;-&quot;??_);_(@_)"/>
    <numFmt numFmtId="167" formatCode="#,##0.000"/>
    <numFmt numFmtId="168" formatCode="#,##0;[Red]#,##0"/>
  </numFmts>
  <fonts count="56">
    <font>
      <sz val="12"/>
      <name val=".VnTime"/>
    </font>
    <font>
      <sz val="12"/>
      <name val=".VnTime"/>
      <family val="2"/>
    </font>
    <font>
      <sz val="12"/>
      <name val="Times New Roman"/>
      <family val="1"/>
    </font>
    <font>
      <b/>
      <sz val="12"/>
      <name val="Times New Roman"/>
      <family val="1"/>
    </font>
    <font>
      <sz val="8"/>
      <name val=".VnTime"/>
      <family val="2"/>
    </font>
    <font>
      <b/>
      <sz val="13"/>
      <name val="Times New Roman"/>
      <family val="1"/>
    </font>
    <font>
      <i/>
      <sz val="13"/>
      <name val="Times New Roman"/>
      <family val="1"/>
    </font>
    <font>
      <sz val="12"/>
      <color indexed="12"/>
      <name val="Times New Roman"/>
      <family val="1"/>
    </font>
    <font>
      <i/>
      <sz val="12"/>
      <name val="Times New Roman"/>
      <family val="1"/>
    </font>
    <font>
      <sz val="10"/>
      <color indexed="12"/>
      <name val="Times New Roman"/>
      <family val="1"/>
    </font>
    <font>
      <sz val="10"/>
      <name val="Times New Roman"/>
      <family val="1"/>
    </font>
    <font>
      <b/>
      <sz val="10"/>
      <name val="Times New Roman"/>
      <family val="1"/>
    </font>
    <font>
      <sz val="9"/>
      <name val="Times New Roman"/>
      <family val="1"/>
    </font>
    <font>
      <sz val="11"/>
      <name val="Times New Roman"/>
      <family val="1"/>
    </font>
    <font>
      <b/>
      <sz val="11"/>
      <name val="Times New Roman"/>
      <family val="1"/>
    </font>
    <font>
      <sz val="11"/>
      <color indexed="12"/>
      <name val="Times New Roman"/>
      <family val="1"/>
    </font>
    <font>
      <b/>
      <sz val="12"/>
      <name val=".VnTime"/>
      <family val="2"/>
    </font>
    <font>
      <sz val="12"/>
      <name val=".VnTime"/>
      <family val="2"/>
    </font>
    <font>
      <b/>
      <u/>
      <sz val="12"/>
      <name val="Times New Roman"/>
      <family val="1"/>
    </font>
    <font>
      <b/>
      <u/>
      <sz val="12"/>
      <name val=".VnTime"/>
      <family val="2"/>
    </font>
    <font>
      <b/>
      <sz val="14"/>
      <name val="Times New Roman"/>
      <family val="1"/>
    </font>
    <font>
      <b/>
      <sz val="14"/>
      <name val=".VnArialH"/>
      <family val="2"/>
    </font>
    <font>
      <sz val="12"/>
      <color indexed="10"/>
      <name val=".VnTime"/>
      <family val="2"/>
    </font>
    <font>
      <sz val="12"/>
      <color indexed="10"/>
      <name val="Times New Roman"/>
      <family val="1"/>
    </font>
    <font>
      <sz val="14"/>
      <name val="Times New Roman"/>
      <family val="1"/>
    </font>
    <font>
      <b/>
      <i/>
      <sz val="12"/>
      <name val="Times New Roman"/>
      <family val="1"/>
    </font>
    <font>
      <b/>
      <i/>
      <sz val="12"/>
      <name val=".VnTime"/>
      <family val="2"/>
    </font>
    <font>
      <sz val="1"/>
      <color indexed="12"/>
      <name val="Times New Roman"/>
      <family val="1"/>
    </font>
    <font>
      <sz val="1"/>
      <name val="Times New Roman"/>
      <family val="1"/>
    </font>
    <font>
      <sz val="13"/>
      <name val="Times New Roman"/>
      <family val="1"/>
    </font>
    <font>
      <sz val="14"/>
      <name val=".VnTime"/>
      <family val="2"/>
    </font>
    <font>
      <sz val="11"/>
      <color indexed="10"/>
      <name val="Times New Roman"/>
      <family val="1"/>
    </font>
    <font>
      <sz val="12"/>
      <name val="VNtimes new roman"/>
      <family val="2"/>
    </font>
    <font>
      <b/>
      <i/>
      <sz val="14"/>
      <name val="Times New Roman"/>
      <family val="1"/>
    </font>
    <font>
      <sz val="14"/>
      <name val=".VnTime"/>
      <family val="2"/>
    </font>
    <font>
      <sz val="12"/>
      <name val=".VnTime"/>
      <family val="2"/>
    </font>
    <font>
      <sz val="13"/>
      <name val=".VnTime"/>
      <family val="2"/>
    </font>
    <font>
      <sz val="13"/>
      <name val=".VnTime"/>
      <family val="2"/>
    </font>
    <font>
      <b/>
      <sz val="1"/>
      <name val="Times New Roman"/>
      <family val="1"/>
    </font>
    <font>
      <sz val="13"/>
      <color indexed="12"/>
      <name val="Times New Roman"/>
      <family val="1"/>
    </font>
    <font>
      <i/>
      <sz val="12"/>
      <color indexed="10"/>
      <name val="Times New Roman"/>
      <family val="1"/>
    </font>
    <font>
      <sz val="12"/>
      <color indexed="10"/>
      <name val=".VnTime"/>
      <family val="2"/>
    </font>
    <font>
      <b/>
      <sz val="11"/>
      <color indexed="12"/>
      <name val="Times New Roman"/>
      <family val="1"/>
    </font>
    <font>
      <b/>
      <sz val="12"/>
      <color indexed="12"/>
      <name val="Times New Roman"/>
      <family val="1"/>
    </font>
    <font>
      <sz val="10"/>
      <color indexed="10"/>
      <name val="Times New Roman"/>
      <family val="1"/>
    </font>
    <font>
      <sz val="12"/>
      <color indexed="9"/>
      <name val="Times New Roman"/>
      <family val="1"/>
    </font>
    <font>
      <b/>
      <sz val="13"/>
      <color indexed="9"/>
      <name val="Times New Roman"/>
      <family val="1"/>
    </font>
    <font>
      <i/>
      <sz val="13"/>
      <color indexed="9"/>
      <name val="Times New Roman"/>
      <family val="1"/>
    </font>
    <font>
      <i/>
      <sz val="12"/>
      <color indexed="9"/>
      <name val="Times New Roman"/>
      <family val="1"/>
    </font>
    <font>
      <b/>
      <sz val="12"/>
      <color indexed="9"/>
      <name val="Times New Roman"/>
      <family val="1"/>
    </font>
    <font>
      <b/>
      <sz val="11"/>
      <color indexed="9"/>
      <name val="Times New Roman"/>
      <family val="1"/>
    </font>
    <font>
      <b/>
      <sz val="10"/>
      <color indexed="9"/>
      <name val="Times New Roman"/>
      <family val="1"/>
    </font>
    <font>
      <sz val="10"/>
      <color indexed="9"/>
      <name val="Times New Roman"/>
      <family val="1"/>
    </font>
    <font>
      <sz val="11"/>
      <color indexed="9"/>
      <name val="Times New Roman"/>
      <family val="1"/>
    </font>
    <font>
      <b/>
      <sz val="12"/>
      <color indexed="10"/>
      <name val="Times New Roman"/>
      <family val="1"/>
    </font>
    <font>
      <b/>
      <sz val="11"/>
      <color indexed="10"/>
      <name val="Times New Roman"/>
      <family val="1"/>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s>
  <cellStyleXfs count="7">
    <xf numFmtId="0" fontId="0" fillId="0" borderId="0"/>
    <xf numFmtId="43" fontId="1" fillId="0" borderId="0" applyFont="0" applyFill="0" applyBorder="0" applyAlignment="0" applyProtection="0"/>
    <xf numFmtId="0" fontId="10" fillId="0" borderId="0"/>
    <xf numFmtId="0" fontId="32" fillId="0" borderId="0"/>
    <xf numFmtId="0" fontId="1" fillId="0" borderId="0"/>
    <xf numFmtId="0" fontId="17" fillId="0" borderId="0"/>
    <xf numFmtId="0" fontId="1" fillId="0" borderId="0"/>
  </cellStyleXfs>
  <cellXfs count="382">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5" fontId="2"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7" fillId="0" borderId="3" xfId="1" applyNumberFormat="1" applyFont="1" applyBorder="1" applyAlignment="1">
      <alignment horizontal="center" vertical="center" wrapText="1"/>
    </xf>
    <xf numFmtId="165" fontId="7" fillId="0" borderId="1" xfId="1"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65" fontId="11"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165" fontId="9" fillId="0" borderId="4" xfId="1" applyNumberFormat="1" applyFont="1" applyBorder="1" applyAlignment="1">
      <alignment horizontal="center" vertical="center" wrapText="1"/>
    </xf>
    <xf numFmtId="0" fontId="2" fillId="0" borderId="4" xfId="0" applyFont="1" applyBorder="1" applyAlignment="1">
      <alignment vertical="center" wrapText="1"/>
    </xf>
    <xf numFmtId="165" fontId="10" fillId="0" borderId="4" xfId="1" applyNumberFormat="1" applyFont="1" applyBorder="1" applyAlignment="1">
      <alignment horizontal="center" vertical="center" wrapText="1"/>
    </xf>
    <xf numFmtId="165" fontId="2" fillId="0" borderId="0" xfId="1" applyNumberFormat="1" applyFont="1"/>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2" fillId="0" borderId="0" xfId="0" applyFont="1" applyAlignment="1">
      <alignment horizontal="left"/>
    </xf>
    <xf numFmtId="165" fontId="11" fillId="0" borderId="4" xfId="0" applyNumberFormat="1" applyFont="1" applyBorder="1" applyAlignment="1">
      <alignment horizontal="center" vertical="center" wrapText="1"/>
    </xf>
    <xf numFmtId="0" fontId="2" fillId="0" borderId="4" xfId="0" applyFont="1" applyBorder="1" applyAlignment="1"/>
    <xf numFmtId="165" fontId="2" fillId="0" borderId="4" xfId="1" applyNumberFormat="1" applyFont="1" applyBorder="1" applyAlignment="1"/>
    <xf numFmtId="0" fontId="7" fillId="0" borderId="4" xfId="0" applyFont="1" applyBorder="1" applyAlignment="1">
      <alignment horizontal="left" vertical="center" wrapText="1"/>
    </xf>
    <xf numFmtId="0" fontId="7" fillId="0" borderId="4" xfId="0" applyFont="1" applyBorder="1" applyAlignment="1"/>
    <xf numFmtId="0" fontId="7" fillId="0" borderId="0" xfId="0" applyFont="1"/>
    <xf numFmtId="165" fontId="7" fillId="0" borderId="4" xfId="1" applyNumberFormat="1" applyFont="1" applyBorder="1" applyAlignment="1"/>
    <xf numFmtId="165" fontId="7" fillId="0" borderId="0" xfId="1" applyNumberFormat="1" applyFont="1"/>
    <xf numFmtId="165" fontId="9" fillId="0" borderId="4" xfId="1" applyNumberFormat="1" applyFont="1" applyBorder="1" applyAlignment="1">
      <alignment horizontal="center" vertical="justify"/>
    </xf>
    <xf numFmtId="0" fontId="7" fillId="0" borderId="4"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 xfId="0" applyFont="1" applyBorder="1" applyAlignment="1">
      <alignment horizontal="center" vertical="justify"/>
    </xf>
    <xf numFmtId="165" fontId="2" fillId="0" borderId="0" xfId="0" applyNumberFormat="1" applyFont="1"/>
    <xf numFmtId="165" fontId="12" fillId="0" borderId="0" xfId="0" applyNumberFormat="1" applyFont="1"/>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vertical="center" wrapText="1"/>
    </xf>
    <xf numFmtId="0" fontId="3" fillId="0" borderId="0" xfId="6" applyNumberFormat="1" applyFont="1" applyAlignment="1">
      <alignment horizontal="center"/>
    </xf>
    <xf numFmtId="0" fontId="16" fillId="0" borderId="0" xfId="6" applyFont="1" applyAlignment="1">
      <alignment horizontal="center"/>
    </xf>
    <xf numFmtId="0" fontId="2" fillId="0" borderId="0" xfId="6" applyFont="1"/>
    <xf numFmtId="0" fontId="17" fillId="0" borderId="0" xfId="6" applyFont="1"/>
    <xf numFmtId="0" fontId="16" fillId="0" borderId="0" xfId="6" applyFont="1"/>
    <xf numFmtId="3" fontId="16" fillId="0" borderId="0" xfId="6" applyNumberFormat="1" applyFont="1"/>
    <xf numFmtId="0" fontId="13" fillId="0" borderId="0" xfId="6" applyFont="1"/>
    <xf numFmtId="0" fontId="3" fillId="0" borderId="7" xfId="6" applyFont="1" applyBorder="1" applyAlignment="1">
      <alignment horizontal="center" vertical="center"/>
    </xf>
    <xf numFmtId="0" fontId="3" fillId="0" borderId="8" xfId="6" applyNumberFormat="1" applyFont="1" applyBorder="1" applyAlignment="1">
      <alignment horizontal="center" vertical="center"/>
    </xf>
    <xf numFmtId="0" fontId="3" fillId="0" borderId="8" xfId="6" applyNumberFormat="1" applyFont="1" applyBorder="1" applyAlignment="1">
      <alignment horizontal="center" vertical="center" wrapText="1"/>
    </xf>
    <xf numFmtId="3" fontId="3" fillId="0" borderId="9" xfId="6" applyNumberFormat="1" applyFont="1" applyBorder="1" applyAlignment="1">
      <alignment horizontal="center" vertical="center"/>
    </xf>
    <xf numFmtId="0" fontId="3" fillId="0" borderId="10" xfId="6" applyFont="1" applyBorder="1" applyAlignment="1">
      <alignment horizontal="center"/>
    </xf>
    <xf numFmtId="0" fontId="3" fillId="0" borderId="3" xfId="6" applyNumberFormat="1" applyFont="1" applyBorder="1"/>
    <xf numFmtId="0" fontId="3" fillId="0" borderId="3" xfId="6" applyFont="1" applyBorder="1" applyAlignment="1">
      <alignment horizontal="center"/>
    </xf>
    <xf numFmtId="3" fontId="16" fillId="0" borderId="11" xfId="6" applyNumberFormat="1" applyFont="1" applyBorder="1"/>
    <xf numFmtId="3" fontId="2" fillId="0" borderId="0" xfId="6" applyNumberFormat="1" applyFont="1"/>
    <xf numFmtId="0" fontId="2" fillId="0" borderId="3" xfId="6" applyNumberFormat="1" applyFont="1" applyBorder="1"/>
    <xf numFmtId="0" fontId="2" fillId="0" borderId="3" xfId="6" applyFont="1" applyBorder="1" applyAlignment="1">
      <alignment horizontal="center"/>
    </xf>
    <xf numFmtId="0" fontId="8" fillId="0" borderId="3" xfId="6" applyFont="1" applyBorder="1" applyAlignment="1">
      <alignment horizontal="center"/>
    </xf>
    <xf numFmtId="3" fontId="22" fillId="0" borderId="11" xfId="6" applyNumberFormat="1" applyFont="1" applyBorder="1"/>
    <xf numFmtId="3" fontId="23" fillId="0" borderId="0" xfId="6" applyNumberFormat="1" applyFont="1"/>
    <xf numFmtId="3" fontId="17" fillId="0" borderId="11" xfId="6" applyNumberFormat="1" applyFont="1" applyBorder="1"/>
    <xf numFmtId="0" fontId="3" fillId="0" borderId="12" xfId="6" applyFont="1" applyBorder="1" applyAlignment="1">
      <alignment horizontal="center"/>
    </xf>
    <xf numFmtId="0" fontId="3" fillId="0" borderId="1" xfId="6" applyNumberFormat="1" applyFont="1" applyBorder="1"/>
    <xf numFmtId="0" fontId="3" fillId="0" borderId="1" xfId="6" applyFont="1" applyBorder="1" applyAlignment="1">
      <alignment horizontal="center"/>
    </xf>
    <xf numFmtId="3" fontId="16" fillId="0" borderId="13" xfId="6" applyNumberFormat="1" applyFont="1" applyBorder="1"/>
    <xf numFmtId="0" fontId="2" fillId="0" borderId="1" xfId="6" applyNumberFormat="1" applyFont="1" applyBorder="1" applyAlignment="1">
      <alignment vertical="center" wrapText="1"/>
    </xf>
    <xf numFmtId="0" fontId="2" fillId="0" borderId="1" xfId="6" applyFont="1" applyBorder="1" applyAlignment="1">
      <alignment horizontal="center" vertical="center"/>
    </xf>
    <xf numFmtId="3" fontId="17" fillId="0" borderId="13" xfId="6" applyNumberFormat="1" applyFont="1" applyBorder="1" applyAlignment="1">
      <alignment vertical="center"/>
    </xf>
    <xf numFmtId="0" fontId="2" fillId="0" borderId="1" xfId="6" applyFont="1" applyBorder="1" applyAlignment="1">
      <alignment horizontal="center"/>
    </xf>
    <xf numFmtId="3" fontId="17" fillId="0" borderId="13" xfId="6" applyNumberFormat="1" applyFont="1" applyBorder="1"/>
    <xf numFmtId="0" fontId="2" fillId="0" borderId="1" xfId="6" applyNumberFormat="1" applyFont="1" applyBorder="1"/>
    <xf numFmtId="166" fontId="24" fillId="2" borderId="0" xfId="1" applyNumberFormat="1" applyFont="1" applyFill="1"/>
    <xf numFmtId="0" fontId="24" fillId="0" borderId="0" xfId="5" applyFont="1" applyFill="1"/>
    <xf numFmtId="167" fontId="17" fillId="0" borderId="0" xfId="5" applyNumberFormat="1" applyFont="1" applyFill="1"/>
    <xf numFmtId="3" fontId="17" fillId="0" borderId="0" xfId="5" applyNumberFormat="1" applyFont="1" applyFill="1"/>
    <xf numFmtId="49" fontId="3" fillId="0" borderId="12" xfId="6" applyNumberFormat="1" applyFont="1" applyBorder="1" applyAlignment="1">
      <alignment horizontal="center"/>
    </xf>
    <xf numFmtId="0" fontId="17" fillId="0" borderId="12" xfId="6" applyFont="1" applyBorder="1" applyAlignment="1">
      <alignment horizontal="center"/>
    </xf>
    <xf numFmtId="0" fontId="2" fillId="0" borderId="1" xfId="4" applyNumberFormat="1" applyFont="1" applyBorder="1"/>
    <xf numFmtId="0" fontId="17" fillId="0" borderId="1" xfId="6" applyFont="1" applyBorder="1" applyAlignment="1">
      <alignment horizontal="center"/>
    </xf>
    <xf numFmtId="0" fontId="16" fillId="0" borderId="12" xfId="6" applyFont="1" applyBorder="1" applyAlignment="1">
      <alignment horizontal="center"/>
    </xf>
    <xf numFmtId="0" fontId="17" fillId="0" borderId="14" xfId="6" applyFont="1" applyBorder="1" applyAlignment="1">
      <alignment horizontal="center"/>
    </xf>
    <xf numFmtId="0" fontId="17" fillId="0" borderId="15" xfId="6" applyFont="1" applyBorder="1"/>
    <xf numFmtId="0" fontId="17" fillId="0" borderId="15" xfId="6" applyFont="1" applyBorder="1" applyAlignment="1">
      <alignment horizontal="center"/>
    </xf>
    <xf numFmtId="3" fontId="17" fillId="0" borderId="16" xfId="6" applyNumberFormat="1" applyFont="1" applyBorder="1"/>
    <xf numFmtId="0" fontId="17" fillId="0" borderId="0" xfId="6" applyFont="1" applyAlignment="1">
      <alignment horizontal="center"/>
    </xf>
    <xf numFmtId="3" fontId="17" fillId="0" borderId="0" xfId="6" applyNumberFormat="1" applyFont="1"/>
    <xf numFmtId="0" fontId="17" fillId="0" borderId="0" xfId="6" applyFont="1" applyAlignment="1">
      <alignment horizontal="left"/>
    </xf>
    <xf numFmtId="0" fontId="2" fillId="0" borderId="10" xfId="6" quotePrefix="1" applyFont="1" applyBorder="1" applyAlignment="1">
      <alignment horizontal="center"/>
    </xf>
    <xf numFmtId="49" fontId="17" fillId="0" borderId="12" xfId="6" quotePrefix="1" applyNumberFormat="1" applyFont="1" applyBorder="1" applyAlignment="1">
      <alignment horizontal="center" vertical="center"/>
    </xf>
    <xf numFmtId="0" fontId="17" fillId="0" borderId="12" xfId="6" quotePrefix="1" applyFont="1" applyBorder="1" applyAlignment="1">
      <alignment horizontal="center"/>
    </xf>
    <xf numFmtId="165" fontId="10" fillId="0" borderId="0" xfId="1" applyNumberFormat="1" applyFont="1"/>
    <xf numFmtId="165" fontId="10" fillId="0" borderId="0" xfId="0" applyNumberFormat="1" applyFont="1"/>
    <xf numFmtId="0" fontId="27" fillId="0" borderId="4" xfId="0" quotePrefix="1" applyFont="1" applyBorder="1" applyAlignment="1">
      <alignment horizontal="center" vertical="center" wrapText="1"/>
    </xf>
    <xf numFmtId="0" fontId="27" fillId="0" borderId="4" xfId="0" applyFont="1" applyBorder="1" applyAlignment="1">
      <alignment horizontal="left" vertical="center" wrapText="1"/>
    </xf>
    <xf numFmtId="165" fontId="27" fillId="0" borderId="4" xfId="1" applyNumberFormat="1" applyFont="1" applyBorder="1" applyAlignment="1">
      <alignment horizontal="center" vertical="center" wrapText="1"/>
    </xf>
    <xf numFmtId="0" fontId="27" fillId="0" borderId="4" xfId="0" applyFont="1" applyBorder="1" applyAlignment="1">
      <alignment vertical="center" wrapText="1"/>
    </xf>
    <xf numFmtId="0" fontId="28" fillId="0" borderId="4" xfId="0" applyFont="1" applyBorder="1" applyAlignment="1">
      <alignment vertical="center" wrapText="1"/>
    </xf>
    <xf numFmtId="0" fontId="27" fillId="0" borderId="4" xfId="0" applyFont="1" applyBorder="1" applyAlignment="1">
      <alignment horizontal="center" vertical="center" wrapText="1"/>
    </xf>
    <xf numFmtId="165" fontId="27" fillId="0" borderId="4" xfId="1" applyNumberFormat="1" applyFont="1" applyBorder="1" applyAlignment="1"/>
    <xf numFmtId="165" fontId="27" fillId="0" borderId="0" xfId="1" applyNumberFormat="1" applyFont="1"/>
    <xf numFmtId="0" fontId="27" fillId="0" borderId="0" xfId="0" applyFont="1"/>
    <xf numFmtId="0" fontId="30" fillId="0" borderId="0" xfId="6" applyFont="1" applyAlignment="1">
      <alignment horizontal="center"/>
    </xf>
    <xf numFmtId="0" fontId="24" fillId="0" borderId="0" xfId="6" applyNumberFormat="1" applyFont="1" applyAlignment="1">
      <alignment horizontal="center"/>
    </xf>
    <xf numFmtId="0" fontId="30" fillId="0" borderId="0" xfId="6" applyFont="1" applyAlignment="1">
      <alignment horizontal="left"/>
    </xf>
    <xf numFmtId="0" fontId="30" fillId="0" borderId="0" xfId="6" applyFont="1"/>
    <xf numFmtId="3" fontId="30" fillId="0" borderId="0" xfId="6" applyNumberFormat="1" applyFont="1"/>
    <xf numFmtId="0" fontId="10" fillId="0" borderId="0" xfId="0" applyFont="1"/>
    <xf numFmtId="0" fontId="31" fillId="0" borderId="4" xfId="0" applyFont="1" applyBorder="1" applyAlignment="1">
      <alignment horizontal="center" vertical="center" wrapText="1"/>
    </xf>
    <xf numFmtId="0" fontId="27" fillId="0" borderId="4" xfId="0" applyFont="1" applyBorder="1" applyAlignment="1"/>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23" fillId="0" borderId="4" xfId="0" applyFont="1" applyBorder="1" applyAlignment="1">
      <alignment horizontal="center" vertical="center" wrapText="1"/>
    </xf>
    <xf numFmtId="165" fontId="7" fillId="0" borderId="4" xfId="1" applyNumberFormat="1" applyFont="1" applyBorder="1" applyAlignment="1">
      <alignment horizontal="center" vertical="justify"/>
    </xf>
    <xf numFmtId="0" fontId="20" fillId="0" borderId="0" xfId="0" applyFont="1" applyAlignment="1"/>
    <xf numFmtId="0" fontId="3" fillId="0" borderId="0" xfId="0" applyFont="1" applyAlignment="1"/>
    <xf numFmtId="0" fontId="8" fillId="0" borderId="0" xfId="0" applyFont="1" applyAlignment="1"/>
    <xf numFmtId="0" fontId="20" fillId="3" borderId="4" xfId="0" applyFont="1" applyFill="1" applyBorder="1" applyAlignment="1">
      <alignment horizontal="center"/>
    </xf>
    <xf numFmtId="0" fontId="20" fillId="3" borderId="4" xfId="0" applyFont="1" applyFill="1" applyBorder="1" applyAlignment="1">
      <alignment horizontal="center" vertical="top"/>
    </xf>
    <xf numFmtId="0" fontId="20" fillId="3" borderId="6" xfId="0" applyFont="1" applyFill="1" applyBorder="1" applyAlignment="1">
      <alignment horizontal="center"/>
    </xf>
    <xf numFmtId="0" fontId="20" fillId="3" borderId="6" xfId="0" applyFont="1" applyFill="1" applyBorder="1" applyAlignment="1">
      <alignment vertical="top" wrapText="1"/>
    </xf>
    <xf numFmtId="0" fontId="24" fillId="3" borderId="6" xfId="0" applyFont="1" applyFill="1" applyBorder="1" applyAlignment="1">
      <alignment horizontal="center"/>
    </xf>
    <xf numFmtId="0" fontId="24" fillId="3" borderId="6" xfId="0" applyFont="1" applyFill="1" applyBorder="1" applyAlignment="1">
      <alignment vertical="top" wrapText="1"/>
    </xf>
    <xf numFmtId="0" fontId="20" fillId="3" borderId="6" xfId="0" applyFont="1" applyFill="1" applyBorder="1" applyAlignment="1">
      <alignment horizontal="left" vertical="top"/>
    </xf>
    <xf numFmtId="0" fontId="24" fillId="3" borderId="4" xfId="0" applyFont="1" applyFill="1" applyBorder="1" applyAlignment="1">
      <alignment horizontal="center"/>
    </xf>
    <xf numFmtId="0" fontId="24" fillId="3" borderId="4" xfId="0" applyFont="1" applyFill="1" applyBorder="1" applyAlignment="1">
      <alignment horizontal="left" vertical="top" wrapText="1"/>
    </xf>
    <xf numFmtId="0" fontId="24" fillId="3" borderId="4" xfId="2" applyFont="1" applyFill="1" applyBorder="1" applyAlignment="1">
      <alignment horizontal="left" vertical="center"/>
    </xf>
    <xf numFmtId="0" fontId="20" fillId="3" borderId="4" xfId="0" applyFont="1" applyFill="1" applyBorder="1" applyAlignment="1">
      <alignment horizontal="left" vertical="top" wrapText="1"/>
    </xf>
    <xf numFmtId="0" fontId="24" fillId="3" borderId="4" xfId="0" applyFont="1" applyFill="1" applyBorder="1" applyAlignment="1">
      <alignment horizontal="left" vertical="top"/>
    </xf>
    <xf numFmtId="0" fontId="20" fillId="3" borderId="4" xfId="0" applyFont="1" applyFill="1" applyBorder="1" applyAlignment="1">
      <alignment horizontal="left" vertical="top"/>
    </xf>
    <xf numFmtId="0" fontId="24" fillId="3" borderId="6" xfId="0" applyFont="1" applyFill="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3" fontId="3" fillId="3" borderId="4" xfId="0" applyNumberFormat="1" applyFont="1" applyFill="1" applyBorder="1"/>
    <xf numFmtId="0" fontId="2" fillId="3" borderId="6" xfId="0" applyFont="1" applyFill="1" applyBorder="1" applyAlignment="1">
      <alignment horizontal="center"/>
    </xf>
    <xf numFmtId="0" fontId="2" fillId="3" borderId="6" xfId="0" applyFont="1" applyFill="1" applyBorder="1" applyAlignment="1">
      <alignment horizontal="center" vertical="center"/>
    </xf>
    <xf numFmtId="3" fontId="2" fillId="3" borderId="4" xfId="0" applyNumberFormat="1" applyFont="1" applyFill="1" applyBorder="1"/>
    <xf numFmtId="0" fontId="2" fillId="3" borderId="4" xfId="0" applyFont="1" applyFill="1" applyBorder="1" applyAlignment="1">
      <alignment horizontal="center" vertical="center"/>
    </xf>
    <xf numFmtId="3" fontId="2" fillId="3" borderId="4" xfId="2" applyNumberFormat="1" applyFont="1" applyFill="1" applyBorder="1" applyAlignment="1">
      <alignment horizontal="center" vertical="center"/>
    </xf>
    <xf numFmtId="0" fontId="2" fillId="3" borderId="4" xfId="0" applyFont="1" applyFill="1" applyBorder="1" applyAlignment="1">
      <alignment horizontal="center"/>
    </xf>
    <xf numFmtId="0" fontId="3" fillId="3" borderId="4" xfId="0" applyFont="1" applyFill="1" applyBorder="1" applyAlignment="1">
      <alignment horizontal="center"/>
    </xf>
    <xf numFmtId="0" fontId="24" fillId="0" borderId="0" xfId="6" applyNumberFormat="1" applyFont="1" applyAlignment="1"/>
    <xf numFmtId="0" fontId="30" fillId="0" borderId="0" xfId="6" applyFont="1" applyAlignment="1"/>
    <xf numFmtId="0" fontId="0" fillId="0" borderId="0" xfId="0" applyAlignment="1">
      <alignment horizontal="center"/>
    </xf>
    <xf numFmtId="0" fontId="2" fillId="0" borderId="4" xfId="0" applyFont="1" applyBorder="1" applyAlignment="1">
      <alignment vertical="justify"/>
    </xf>
    <xf numFmtId="165" fontId="10" fillId="0" borderId="4" xfId="1" applyNumberFormat="1" applyFont="1" applyBorder="1" applyAlignment="1">
      <alignment horizontal="center" vertical="justify"/>
    </xf>
    <xf numFmtId="3" fontId="0" fillId="0" borderId="0" xfId="0" applyNumberFormat="1"/>
    <xf numFmtId="0" fontId="20" fillId="0" borderId="7" xfId="6" applyFont="1" applyBorder="1" applyAlignment="1">
      <alignment horizontal="center" vertical="center"/>
    </xf>
    <xf numFmtId="0" fontId="20" fillId="0" borderId="8" xfId="6" applyNumberFormat="1" applyFont="1" applyBorder="1" applyAlignment="1">
      <alignment horizontal="center" vertical="center"/>
    </xf>
    <xf numFmtId="0" fontId="20" fillId="0" borderId="8" xfId="6" applyNumberFormat="1" applyFont="1" applyBorder="1" applyAlignment="1">
      <alignment horizontal="center" vertical="center" wrapText="1"/>
    </xf>
    <xf numFmtId="3" fontId="20" fillId="0" borderId="9" xfId="6" applyNumberFormat="1" applyFont="1" applyBorder="1" applyAlignment="1">
      <alignment horizontal="center" vertical="center"/>
    </xf>
    <xf numFmtId="0" fontId="34" fillId="0" borderId="0" xfId="0" applyFont="1"/>
    <xf numFmtId="0" fontId="35" fillId="0" borderId="0" xfId="0" applyFont="1"/>
    <xf numFmtId="0" fontId="2" fillId="0" borderId="10" xfId="6" applyFont="1" applyBorder="1" applyAlignment="1">
      <alignment horizontal="center"/>
    </xf>
    <xf numFmtId="0" fontId="2" fillId="0" borderId="3" xfId="6" applyNumberFormat="1" applyFont="1" applyBorder="1" applyAlignment="1">
      <alignment vertical="justify"/>
    </xf>
    <xf numFmtId="49" fontId="17" fillId="0" borderId="12" xfId="6" applyNumberFormat="1" applyFont="1" applyBorder="1" applyAlignment="1">
      <alignment horizontal="center" vertical="center"/>
    </xf>
    <xf numFmtId="0" fontId="2" fillId="0" borderId="1" xfId="6" applyNumberFormat="1" applyFont="1" applyBorder="1" applyAlignment="1">
      <alignment vertical="justify" wrapText="1"/>
    </xf>
    <xf numFmtId="0" fontId="8" fillId="0" borderId="1" xfId="6" applyFont="1" applyBorder="1" applyAlignment="1">
      <alignment horizontal="center" vertical="center"/>
    </xf>
    <xf numFmtId="0" fontId="36" fillId="0" borderId="0" xfId="6" applyFont="1" applyAlignment="1">
      <alignment horizontal="center"/>
    </xf>
    <xf numFmtId="0" fontId="37" fillId="0" borderId="0" xfId="0" applyFont="1"/>
    <xf numFmtId="3" fontId="35" fillId="0" borderId="0" xfId="0" applyNumberFormat="1" applyFont="1"/>
    <xf numFmtId="0" fontId="28" fillId="0" borderId="4" xfId="0" applyFont="1" applyBorder="1" applyAlignment="1">
      <alignment horizontal="left" vertical="center" wrapText="1"/>
    </xf>
    <xf numFmtId="0" fontId="38" fillId="0" borderId="4" xfId="0" applyFont="1" applyBorder="1" applyAlignment="1">
      <alignment horizontal="center" vertical="center" wrapText="1"/>
    </xf>
    <xf numFmtId="0" fontId="28" fillId="0" borderId="0" xfId="0" applyFont="1" applyAlignment="1">
      <alignment horizontal="left"/>
    </xf>
    <xf numFmtId="0" fontId="11" fillId="0" borderId="4" xfId="0" applyFont="1" applyBorder="1" applyAlignment="1">
      <alignment horizontal="center" vertical="center" wrapText="1"/>
    </xf>
    <xf numFmtId="0" fontId="10" fillId="0" borderId="0" xfId="0" applyFont="1" applyAlignment="1">
      <alignment horizontal="left"/>
    </xf>
    <xf numFmtId="0" fontId="15" fillId="0" borderId="4" xfId="0" applyFont="1" applyBorder="1" applyAlignment="1"/>
    <xf numFmtId="165" fontId="15" fillId="0" borderId="4" xfId="1" applyNumberFormat="1" applyFont="1" applyBorder="1" applyAlignment="1">
      <alignment horizontal="center" vertical="justify"/>
    </xf>
    <xf numFmtId="165" fontId="13" fillId="0" borderId="4" xfId="1" applyNumberFormat="1" applyFont="1" applyBorder="1" applyAlignment="1"/>
    <xf numFmtId="0" fontId="5" fillId="0" borderId="4" xfId="0" applyFont="1" applyBorder="1" applyAlignment="1">
      <alignment horizontal="left" vertical="center" wrapText="1"/>
    </xf>
    <xf numFmtId="0" fontId="39" fillId="0" borderId="4" xfId="0" applyFont="1" applyBorder="1" applyAlignment="1">
      <alignment horizontal="left" vertical="center" wrapText="1"/>
    </xf>
    <xf numFmtId="0" fontId="39" fillId="0" borderId="4" xfId="0" quotePrefix="1" applyFont="1" applyBorder="1" applyAlignment="1">
      <alignment horizontal="left" vertical="center" wrapText="1"/>
    </xf>
    <xf numFmtId="0" fontId="29" fillId="0" borderId="4" xfId="0" applyFont="1" applyBorder="1" applyAlignment="1">
      <alignment horizontal="left" vertical="center" wrapText="1"/>
    </xf>
    <xf numFmtId="0" fontId="27" fillId="0" borderId="4" xfId="0" quotePrefix="1" applyFont="1" applyBorder="1" applyAlignment="1">
      <alignment horizontal="left" vertical="center" wrapText="1"/>
    </xf>
    <xf numFmtId="165" fontId="28" fillId="0" borderId="4" xfId="1" applyNumberFormat="1" applyFont="1" applyBorder="1" applyAlignment="1">
      <alignment horizontal="center" vertical="center" wrapText="1"/>
    </xf>
    <xf numFmtId="0" fontId="23" fillId="0" borderId="10" xfId="6" applyFont="1" applyBorder="1" applyAlignment="1">
      <alignment horizontal="center"/>
    </xf>
    <xf numFmtId="0" fontId="23" fillId="0" borderId="3" xfId="6" applyNumberFormat="1" applyFont="1" applyBorder="1" applyAlignment="1">
      <alignment vertical="justify"/>
    </xf>
    <xf numFmtId="0" fontId="40" fillId="0" borderId="3" xfId="6" applyFont="1" applyBorder="1" applyAlignment="1">
      <alignment horizontal="center"/>
    </xf>
    <xf numFmtId="0" fontId="41" fillId="0" borderId="0" xfId="0" applyFont="1"/>
    <xf numFmtId="0" fontId="28" fillId="0" borderId="4" xfId="0" quotePrefix="1" applyFont="1" applyBorder="1" applyAlignment="1">
      <alignment horizontal="center" vertical="center" wrapText="1"/>
    </xf>
    <xf numFmtId="0" fontId="1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xf numFmtId="0" fontId="42" fillId="0" borderId="4" xfId="0" applyFont="1" applyBorder="1" applyAlignment="1">
      <alignment horizontal="center" vertical="center" wrapText="1"/>
    </xf>
    <xf numFmtId="0" fontId="15" fillId="0" borderId="4" xfId="0" applyFont="1" applyBorder="1" applyAlignment="1">
      <alignment horizontal="left" vertical="center" wrapText="1"/>
    </xf>
    <xf numFmtId="0" fontId="43" fillId="0" borderId="4" xfId="0" applyFont="1" applyBorder="1" applyAlignment="1">
      <alignment horizontal="center" vertical="center" wrapText="1"/>
    </xf>
    <xf numFmtId="0" fontId="7" fillId="0" borderId="0" xfId="0" applyFont="1" applyAlignment="1">
      <alignment horizontal="left"/>
    </xf>
    <xf numFmtId="0" fontId="13" fillId="0" borderId="4" xfId="0" quotePrefix="1" applyFont="1" applyBorder="1" applyAlignment="1">
      <alignment horizontal="center" vertical="center" wrapText="1"/>
    </xf>
    <xf numFmtId="165" fontId="13" fillId="0" borderId="0" xfId="1" applyNumberFormat="1" applyFont="1"/>
    <xf numFmtId="0" fontId="13" fillId="0" borderId="0" xfId="0" applyFont="1"/>
    <xf numFmtId="0" fontId="27" fillId="0" borderId="0" xfId="0" applyFont="1" applyAlignment="1">
      <alignment horizontal="left"/>
    </xf>
    <xf numFmtId="164" fontId="2" fillId="0" borderId="0" xfId="1" applyNumberFormat="1" applyFont="1"/>
    <xf numFmtId="0" fontId="15" fillId="0" borderId="4" xfId="0" quotePrefix="1" applyFont="1" applyBorder="1" applyAlignment="1">
      <alignment horizontal="center" vertical="center" wrapText="1"/>
    </xf>
    <xf numFmtId="165" fontId="15" fillId="0" borderId="4" xfId="1" applyNumberFormat="1" applyFont="1" applyBorder="1" applyAlignment="1">
      <alignment horizontal="center" vertical="center" wrapText="1"/>
    </xf>
    <xf numFmtId="0" fontId="13" fillId="0" borderId="0" xfId="0" applyFont="1" applyAlignment="1">
      <alignment horizontal="left"/>
    </xf>
    <xf numFmtId="0" fontId="28" fillId="0" borderId="4" xfId="0" applyFont="1" applyBorder="1" applyAlignment="1"/>
    <xf numFmtId="165" fontId="3" fillId="0" borderId="4" xfId="0" applyNumberFormat="1" applyFont="1" applyBorder="1" applyAlignment="1">
      <alignment horizontal="center" vertical="center" wrapText="1"/>
    </xf>
    <xf numFmtId="165" fontId="7" fillId="0" borderId="4"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165" fontId="28" fillId="0" borderId="4" xfId="1" applyNumberFormat="1" applyFont="1" applyBorder="1" applyAlignment="1"/>
    <xf numFmtId="165" fontId="28" fillId="0" borderId="0" xfId="1" applyNumberFormat="1" applyFont="1"/>
    <xf numFmtId="0" fontId="7" fillId="0" borderId="0" xfId="0" quotePrefix="1" applyFont="1" applyBorder="1" applyAlignment="1">
      <alignment horizontal="center" vertical="center" wrapText="1"/>
    </xf>
    <xf numFmtId="0" fontId="39" fillId="0" borderId="0" xfId="0" applyFont="1" applyBorder="1" applyAlignment="1">
      <alignment horizontal="left" vertical="center" wrapText="1"/>
    </xf>
    <xf numFmtId="165" fontId="9" fillId="0" borderId="0" xfId="1" applyNumberFormat="1" applyFont="1" applyBorder="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31" fillId="0" borderId="0" xfId="0" applyFont="1" applyBorder="1" applyAlignment="1">
      <alignment horizontal="center" vertical="center" wrapText="1"/>
    </xf>
    <xf numFmtId="165" fontId="15" fillId="0" borderId="0" xfId="1" applyNumberFormat="1" applyFont="1" applyBorder="1" applyAlignment="1">
      <alignment horizontal="center" vertical="justify"/>
    </xf>
    <xf numFmtId="165" fontId="10" fillId="0" borderId="4" xfId="0" applyNumberFormat="1" applyFont="1" applyBorder="1" applyAlignment="1">
      <alignment horizontal="center" vertical="center" wrapText="1"/>
    </xf>
    <xf numFmtId="165" fontId="23" fillId="0" borderId="0" xfId="1" applyNumberFormat="1" applyFont="1"/>
    <xf numFmtId="165" fontId="9" fillId="0" borderId="4" xfId="0" applyNumberFormat="1" applyFont="1" applyBorder="1" applyAlignment="1">
      <alignment horizontal="center" vertical="center" wrapText="1"/>
    </xf>
    <xf numFmtId="0" fontId="2" fillId="0" borderId="0" xfId="0" applyFont="1" applyFill="1"/>
    <xf numFmtId="0" fontId="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65" fontId="11" fillId="0" borderId="4" xfId="0" applyNumberFormat="1" applyFont="1" applyFill="1" applyBorder="1" applyAlignment="1">
      <alignment horizontal="center" vertical="center" wrapText="1"/>
    </xf>
    <xf numFmtId="0" fontId="2" fillId="0" borderId="4" xfId="0" applyFont="1" applyFill="1" applyBorder="1" applyAlignment="1"/>
    <xf numFmtId="0" fontId="2" fillId="0" borderId="4" xfId="0" quotePrefix="1" applyFont="1" applyFill="1" applyBorder="1" applyAlignment="1">
      <alignment horizontal="center" vertical="center" wrapText="1"/>
    </xf>
    <xf numFmtId="0" fontId="2" fillId="0" borderId="4" xfId="0" applyFont="1" applyFill="1" applyBorder="1" applyAlignment="1">
      <alignment horizontal="left" vertical="center" wrapText="1"/>
    </xf>
    <xf numFmtId="165" fontId="10" fillId="0" borderId="4" xfId="1"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2" fillId="0" borderId="0" xfId="0" applyFont="1" applyFill="1" applyAlignment="1">
      <alignment horizontal="left"/>
    </xf>
    <xf numFmtId="165" fontId="10"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justify"/>
    </xf>
    <xf numFmtId="165" fontId="2" fillId="0" borderId="0" xfId="1" applyNumberFormat="1" applyFont="1" applyFill="1"/>
    <xf numFmtId="165" fontId="2" fillId="0" borderId="4" xfId="1" applyNumberFormat="1" applyFont="1" applyFill="1" applyBorder="1" applyAlignment="1"/>
    <xf numFmtId="0" fontId="23" fillId="0" borderId="4" xfId="0" quotePrefix="1" applyFont="1" applyFill="1" applyBorder="1" applyAlignment="1">
      <alignment horizontal="center" vertical="center" wrapText="1"/>
    </xf>
    <xf numFmtId="0" fontId="23" fillId="0" borderId="4" xfId="0" applyFont="1" applyFill="1" applyBorder="1" applyAlignment="1">
      <alignment horizontal="left" vertical="center" wrapText="1"/>
    </xf>
    <xf numFmtId="165" fontId="44" fillId="0" borderId="4" xfId="1" applyNumberFormat="1" applyFont="1" applyFill="1" applyBorder="1" applyAlignment="1">
      <alignment horizontal="center" vertical="center" wrapTex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wrapText="1"/>
    </xf>
    <xf numFmtId="165" fontId="44" fillId="0" borderId="4" xfId="1" applyNumberFormat="1" applyFont="1" applyFill="1" applyBorder="1" applyAlignment="1">
      <alignment horizontal="center" vertical="justify"/>
    </xf>
    <xf numFmtId="165" fontId="23" fillId="0" borderId="0" xfId="1" applyNumberFormat="1" applyFont="1" applyFill="1"/>
    <xf numFmtId="0" fontId="23" fillId="0" borderId="0" xfId="0" applyFont="1" applyFill="1"/>
    <xf numFmtId="165" fontId="10" fillId="0" borderId="4" xfId="1" applyNumberFormat="1" applyFont="1" applyFill="1" applyBorder="1" applyAlignment="1">
      <alignment horizontal="center" vertical="justify"/>
    </xf>
    <xf numFmtId="0" fontId="45" fillId="0" borderId="0" xfId="0" applyFont="1" applyFill="1"/>
    <xf numFmtId="0" fontId="49"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49" fillId="0" borderId="4" xfId="0" applyFont="1" applyFill="1" applyBorder="1" applyAlignment="1">
      <alignment horizontal="left" vertical="center" wrapText="1"/>
    </xf>
    <xf numFmtId="165" fontId="51" fillId="0" borderId="4" xfId="0" applyNumberFormat="1" applyFont="1" applyFill="1" applyBorder="1" applyAlignment="1">
      <alignment horizontal="center" vertical="center" wrapText="1"/>
    </xf>
    <xf numFmtId="0" fontId="45" fillId="0" borderId="4" xfId="0" applyFont="1" applyFill="1" applyBorder="1" applyAlignment="1"/>
    <xf numFmtId="0" fontId="45" fillId="0" borderId="4" xfId="0" quotePrefix="1" applyFont="1" applyFill="1" applyBorder="1" applyAlignment="1">
      <alignment horizontal="center" vertical="center" wrapText="1"/>
    </xf>
    <xf numFmtId="0" fontId="45" fillId="0" borderId="4" xfId="0" applyFont="1" applyFill="1" applyBorder="1" applyAlignment="1">
      <alignment horizontal="left" vertical="center" wrapText="1"/>
    </xf>
    <xf numFmtId="165" fontId="52" fillId="0" borderId="4" xfId="1" applyNumberFormat="1" applyFont="1" applyFill="1" applyBorder="1" applyAlignment="1">
      <alignment horizontal="center" vertical="center" wrapText="1"/>
    </xf>
    <xf numFmtId="0" fontId="53" fillId="0" borderId="4" xfId="0" applyFont="1" applyFill="1" applyBorder="1" applyAlignment="1">
      <alignment vertical="center" wrapText="1"/>
    </xf>
    <xf numFmtId="0" fontId="53" fillId="0" borderId="4" xfId="0" applyFont="1" applyFill="1" applyBorder="1" applyAlignment="1">
      <alignment horizontal="center" vertical="center" wrapText="1"/>
    </xf>
    <xf numFmtId="0" fontId="53" fillId="0" borderId="4" xfId="0" applyFont="1" applyFill="1" applyBorder="1" applyAlignment="1">
      <alignment horizontal="left" vertical="center" wrapText="1"/>
    </xf>
    <xf numFmtId="165" fontId="52" fillId="0" borderId="4" xfId="0" applyNumberFormat="1" applyFont="1" applyFill="1" applyBorder="1" applyAlignment="1">
      <alignment horizontal="center" vertical="center" wrapText="1"/>
    </xf>
    <xf numFmtId="0" fontId="45" fillId="0" borderId="4" xfId="0" applyFont="1" applyFill="1" applyBorder="1" applyAlignment="1">
      <alignment horizontal="center" vertical="justify"/>
    </xf>
    <xf numFmtId="165" fontId="45" fillId="0" borderId="4" xfId="1" applyNumberFormat="1" applyFont="1" applyFill="1" applyBorder="1" applyAlignment="1"/>
    <xf numFmtId="165" fontId="52" fillId="0" borderId="4" xfId="1" applyNumberFormat="1" applyFont="1" applyFill="1" applyBorder="1" applyAlignment="1">
      <alignment horizontal="center" vertical="justify"/>
    </xf>
    <xf numFmtId="0" fontId="31" fillId="0" borderId="4" xfId="0" applyFont="1" applyFill="1" applyBorder="1" applyAlignment="1">
      <alignment horizontal="left" vertical="center" wrapText="1"/>
    </xf>
    <xf numFmtId="0" fontId="54" fillId="0" borderId="4" xfId="0" applyFont="1" applyFill="1" applyBorder="1" applyAlignment="1">
      <alignment horizontal="center" vertical="center" wrapText="1"/>
    </xf>
    <xf numFmtId="165" fontId="44" fillId="0" borderId="4" xfId="0" applyNumberFormat="1" applyFont="1" applyFill="1" applyBorder="1" applyAlignment="1">
      <alignment horizontal="center" vertical="center" wrapText="1"/>
    </xf>
    <xf numFmtId="0" fontId="55" fillId="0" borderId="4" xfId="0" applyFont="1" applyFill="1" applyBorder="1" applyAlignment="1">
      <alignment horizontal="center" vertical="center" wrapText="1"/>
    </xf>
    <xf numFmtId="0" fontId="23" fillId="0" borderId="4" xfId="0" applyFont="1" applyFill="1" applyBorder="1" applyAlignment="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Fill="1" applyBorder="1" applyAlignment="1"/>
    <xf numFmtId="0" fontId="2" fillId="0" borderId="4" xfId="0" applyFont="1" applyFill="1" applyBorder="1" applyAlignment="1">
      <alignment vertical="justify"/>
    </xf>
    <xf numFmtId="0" fontId="53" fillId="0" borderId="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5" xfId="0" applyFont="1" applyFill="1" applyBorder="1" applyAlignment="1">
      <alignment horizontal="center" vertical="center" wrapText="1"/>
    </xf>
    <xf numFmtId="165" fontId="45" fillId="0" borderId="0" xfId="0" applyNumberFormat="1" applyFont="1" applyFill="1"/>
    <xf numFmtId="0" fontId="36" fillId="0" borderId="0" xfId="0" applyFont="1"/>
    <xf numFmtId="0" fontId="29" fillId="0" borderId="0" xfId="0" applyFont="1" applyFill="1"/>
    <xf numFmtId="0" fontId="5" fillId="0" borderId="4" xfId="0"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29" fillId="0" borderId="4" xfId="0" applyFont="1" applyFill="1" applyBorder="1" applyAlignment="1"/>
    <xf numFmtId="165" fontId="36" fillId="0" borderId="0" xfId="0" applyNumberFormat="1" applyFont="1"/>
    <xf numFmtId="43" fontId="36" fillId="0" borderId="0" xfId="1" applyFont="1"/>
    <xf numFmtId="0" fontId="29" fillId="0" borderId="1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3" xfId="0" applyFont="1" applyFill="1" applyBorder="1" applyAlignment="1"/>
    <xf numFmtId="0" fontId="29" fillId="0" borderId="1" xfId="0" applyFont="1" applyFill="1" applyBorder="1" applyAlignment="1">
      <alignment vertical="justify"/>
    </xf>
    <xf numFmtId="0" fontId="29"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9" fillId="0" borderId="22"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68" fontId="5" fillId="0" borderId="1" xfId="1" applyNumberFormat="1" applyFont="1" applyFill="1" applyBorder="1" applyAlignment="1">
      <alignment horizontal="right" vertical="center" wrapText="1"/>
    </xf>
    <xf numFmtId="165" fontId="5" fillId="0" borderId="3" xfId="0" applyNumberFormat="1" applyFont="1" applyFill="1" applyBorder="1" applyAlignment="1">
      <alignment horizontal="center" vertical="center" wrapText="1"/>
    </xf>
    <xf numFmtId="165" fontId="29" fillId="0" borderId="17" xfId="0" applyNumberFormat="1" applyFont="1" applyFill="1" applyBorder="1" applyAlignment="1">
      <alignment horizontal="center" vertical="center" wrapText="1"/>
    </xf>
    <xf numFmtId="0" fontId="29" fillId="0" borderId="24" xfId="0" applyFont="1" applyFill="1" applyBorder="1" applyAlignment="1">
      <alignment vertical="center" wrapText="1"/>
    </xf>
    <xf numFmtId="0" fontId="29" fillId="0" borderId="24" xfId="0" applyFont="1" applyFill="1" applyBorder="1" applyAlignment="1">
      <alignment horizontal="center" vertical="center" wrapText="1"/>
    </xf>
    <xf numFmtId="0" fontId="29" fillId="0" borderId="23" xfId="0" applyFont="1" applyFill="1" applyBorder="1" applyAlignment="1">
      <alignment horizontal="center" vertical="center" wrapText="1"/>
    </xf>
    <xf numFmtId="165" fontId="5" fillId="0" borderId="1" xfId="0" quotePrefix="1" applyNumberFormat="1" applyFont="1" applyFill="1" applyBorder="1" applyAlignment="1">
      <alignment horizontal="right" vertical="center" wrapText="1"/>
    </xf>
    <xf numFmtId="0" fontId="29" fillId="0" borderId="6" xfId="0" applyFont="1" applyFill="1" applyBorder="1" applyAlignment="1">
      <alignment vertical="center" wrapText="1"/>
    </xf>
    <xf numFmtId="0" fontId="29" fillId="0" borderId="22" xfId="0" applyFont="1" applyFill="1" applyBorder="1" applyAlignment="1">
      <alignment horizontal="center" vertical="center" wrapText="1"/>
    </xf>
    <xf numFmtId="0" fontId="29" fillId="0" borderId="17" xfId="0" applyFont="1" applyFill="1" applyBorder="1" applyAlignment="1">
      <alignment horizontal="center" vertical="center" wrapText="1"/>
    </xf>
    <xf numFmtId="165" fontId="29" fillId="0" borderId="3" xfId="0" applyNumberFormat="1" applyFont="1" applyFill="1" applyBorder="1" applyAlignment="1">
      <alignment horizontal="center" vertical="center" wrapText="1"/>
    </xf>
    <xf numFmtId="0" fontId="29" fillId="0" borderId="1" xfId="0" applyFont="1" applyFill="1" applyBorder="1" applyAlignment="1">
      <alignment horizontal="center" vertical="justify"/>
    </xf>
    <xf numFmtId="0" fontId="29" fillId="0" borderId="2" xfId="0" applyFont="1" applyFill="1" applyBorder="1" applyAlignment="1">
      <alignment horizontal="center" vertical="center" wrapText="1"/>
    </xf>
    <xf numFmtId="0" fontId="47"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wrapText="1"/>
    </xf>
    <xf numFmtId="0" fontId="8" fillId="0" borderId="18" xfId="0" applyFont="1" applyFill="1" applyBorder="1" applyAlignment="1">
      <alignment horizontal="right"/>
    </xf>
    <xf numFmtId="0" fontId="13" fillId="0" borderId="17" xfId="0" applyFont="1" applyFill="1" applyBorder="1" applyAlignment="1">
      <alignment horizontal="center" vertical="center" wrapText="1"/>
    </xf>
    <xf numFmtId="0" fontId="46" fillId="0" borderId="0" xfId="0" applyFont="1" applyFill="1" applyAlignment="1">
      <alignment horizontal="center"/>
    </xf>
    <xf numFmtId="0" fontId="45" fillId="0" borderId="4" xfId="0" applyFont="1" applyFill="1" applyBorder="1" applyAlignment="1">
      <alignment horizontal="center" vertical="justify"/>
    </xf>
    <xf numFmtId="0" fontId="48" fillId="0" borderId="18" xfId="0" applyFont="1" applyFill="1" applyBorder="1" applyAlignment="1">
      <alignment horizontal="right"/>
    </xf>
    <xf numFmtId="0" fontId="53" fillId="0" borderId="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0" borderId="4" xfId="0" applyFont="1" applyFill="1" applyBorder="1" applyAlignment="1">
      <alignment horizontal="center" vertical="justify"/>
    </xf>
    <xf numFmtId="0" fontId="2" fillId="0" borderId="4" xfId="0" applyFont="1" applyBorder="1" applyAlignment="1">
      <alignment horizontal="center" vertical="justify"/>
    </xf>
    <xf numFmtId="0" fontId="5" fillId="0" borderId="0" xfId="0" applyFont="1" applyAlignment="1">
      <alignment horizontal="center"/>
    </xf>
    <xf numFmtId="0" fontId="6" fillId="0" borderId="0" xfId="0" applyFont="1" applyAlignment="1">
      <alignment horizontal="center" wrapText="1"/>
    </xf>
    <xf numFmtId="0" fontId="8" fillId="0" borderId="18" xfId="0" applyFont="1" applyBorder="1" applyAlignment="1">
      <alignment horizontal="right"/>
    </xf>
    <xf numFmtId="0" fontId="13"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18" xfId="0" applyFont="1" applyBorder="1" applyAlignment="1">
      <alignment horizont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4" fillId="0" borderId="0" xfId="6" applyNumberFormat="1" applyFont="1" applyAlignment="1">
      <alignment horizontal="center"/>
    </xf>
    <xf numFmtId="0" fontId="30" fillId="0" borderId="0" xfId="6" applyFont="1" applyAlignment="1">
      <alignment horizontal="center"/>
    </xf>
    <xf numFmtId="0" fontId="20"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29" fillId="0" borderId="0" xfId="6" applyNumberFormat="1" applyFont="1" applyAlignment="1">
      <alignment horizontal="left"/>
    </xf>
    <xf numFmtId="0" fontId="36" fillId="0" borderId="0" xfId="6" applyFont="1" applyAlignment="1">
      <alignment horizontal="left"/>
    </xf>
    <xf numFmtId="0" fontId="2" fillId="0" borderId="0" xfId="6" applyNumberFormat="1" applyFont="1" applyAlignment="1">
      <alignment horizontal="center" wrapText="1"/>
    </xf>
    <xf numFmtId="0" fontId="3" fillId="0" borderId="0" xfId="6" applyNumberFormat="1" applyFont="1" applyAlignment="1">
      <alignment horizontal="center"/>
    </xf>
    <xf numFmtId="0" fontId="16" fillId="0" borderId="0" xfId="6" applyFont="1" applyAlignment="1">
      <alignment horizontal="center"/>
    </xf>
    <xf numFmtId="0" fontId="18" fillId="0" borderId="0" xfId="6" applyNumberFormat="1" applyFont="1" applyAlignment="1">
      <alignment horizontal="center"/>
    </xf>
    <xf numFmtId="0" fontId="19" fillId="0" borderId="0" xfId="6" applyFont="1" applyAlignment="1">
      <alignment horizontal="center"/>
    </xf>
    <xf numFmtId="0" fontId="3" fillId="0" borderId="0" xfId="6" quotePrefix="1" applyFont="1" applyAlignment="1">
      <alignment horizontal="center"/>
    </xf>
    <xf numFmtId="0" fontId="16" fillId="0" borderId="0" xfId="6" quotePrefix="1" applyFont="1" applyAlignment="1">
      <alignment horizontal="center"/>
    </xf>
    <xf numFmtId="0" fontId="20" fillId="0" borderId="0" xfId="6" applyNumberFormat="1" applyFont="1" applyAlignment="1">
      <alignment horizontal="center"/>
    </xf>
    <xf numFmtId="0" fontId="21" fillId="0" borderId="0" xfId="6" applyFont="1" applyAlignment="1">
      <alignment horizontal="center"/>
    </xf>
    <xf numFmtId="0" fontId="13" fillId="0" borderId="0" xfId="6" applyFont="1" applyAlignment="1">
      <alignment horizontal="center"/>
    </xf>
    <xf numFmtId="0" fontId="14" fillId="0" borderId="0" xfId="6" applyFont="1" applyAlignment="1">
      <alignment horizontal="center"/>
    </xf>
    <xf numFmtId="0" fontId="33" fillId="3" borderId="4" xfId="0" applyFont="1" applyFill="1" applyBorder="1" applyAlignment="1">
      <alignment horizontal="center" vertical="top"/>
    </xf>
    <xf numFmtId="0" fontId="20" fillId="3" borderId="4" xfId="3" applyFont="1" applyFill="1" applyBorder="1" applyAlignment="1">
      <alignment horizontal="left" vertical="center" wrapText="1" indent="8"/>
    </xf>
    <xf numFmtId="0" fontId="2" fillId="0" borderId="6" xfId="0" applyFont="1" applyBorder="1" applyAlignment="1">
      <alignment horizontal="center" vertical="justify"/>
    </xf>
    <xf numFmtId="0" fontId="2" fillId="0" borderId="17" xfId="0" applyFont="1" applyBorder="1" applyAlignment="1">
      <alignment horizontal="center" vertical="justify"/>
    </xf>
    <xf numFmtId="0" fontId="2" fillId="0" borderId="5" xfId="0" applyFont="1" applyBorder="1" applyAlignment="1">
      <alignment horizontal="center" vertical="justify"/>
    </xf>
    <xf numFmtId="0" fontId="25" fillId="0" borderId="0" xfId="6" applyNumberFormat="1" applyFont="1" applyAlignment="1">
      <alignment horizontal="center"/>
    </xf>
    <xf numFmtId="0" fontId="26" fillId="0" borderId="0" xfId="6" applyFont="1" applyAlignment="1">
      <alignment horizontal="center"/>
    </xf>
    <xf numFmtId="0" fontId="2" fillId="0" borderId="0" xfId="6" applyNumberFormat="1" applyFont="1" applyAlignment="1">
      <alignment horizont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right"/>
    </xf>
    <xf numFmtId="0" fontId="5" fillId="0" borderId="0" xfId="0" applyFont="1" applyFill="1" applyAlignment="1">
      <alignment horizontal="center" vertical="center"/>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0" xfId="0" applyFont="1" applyFill="1" applyAlignment="1">
      <alignment horizontal="center" wrapText="1"/>
    </xf>
    <xf numFmtId="0" fontId="6" fillId="0" borderId="18" xfId="0" applyFont="1" applyFill="1" applyBorder="1" applyAlignment="1">
      <alignment horizontal="right"/>
    </xf>
    <xf numFmtId="0" fontId="29" fillId="0" borderId="17" xfId="0" applyFont="1" applyFill="1" applyBorder="1" applyAlignment="1">
      <alignment horizontal="center" vertical="center" wrapText="1"/>
    </xf>
    <xf numFmtId="0" fontId="29" fillId="0" borderId="5" xfId="0" applyFont="1" applyFill="1" applyBorder="1" applyAlignment="1">
      <alignment horizontal="center" vertical="center" wrapText="1"/>
    </xf>
  </cellXfs>
  <cellStyles count="7">
    <cellStyle name="Comma" xfId="1" builtinId="3"/>
    <cellStyle name="Normal" xfId="0" builtinId="0"/>
    <cellStyle name="Normal 2" xfId="2"/>
    <cellStyle name="Normal_bang tinh" xfId="3"/>
    <cellStyle name="Normal_DT PHONG THU 6-9" xfId="4"/>
    <cellStyle name="Normal_DU TOAN" xfId="5"/>
    <cellStyle name="Normal_DU TOAN_HOA SEN 15-0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272;&#7873;n%20Li&#7879;t%20s&#7929;%20(tr&#236;nh%20&#273;i&#7873;u%20ch&#7881;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thao"/>
      <sheetName val="So sanh (2)"/>
      <sheetName val="Tổng DC"/>
      <sheetName val="Tổng (2)"/>
      <sheetName val="TH ĐIỀU CHỈNH"/>
      <sheetName val="TH"/>
      <sheetName val="Tổng"/>
      <sheetName val="Tổng Đền Liệt sỹ"/>
      <sheetName val="CP Xay lap"/>
      <sheetName val="TH xây lắp (trinh)"/>
      <sheetName val="Du toan chi tiết"/>
      <sheetName val="So sanh"/>
      <sheetName val="Phan tich don gia BS"/>
      <sheetName val="Gia NC,CM"/>
      <sheetName val="Gia VL"/>
      <sheetName val="XL trình"/>
      <sheetName val="Thương thảo NC"/>
      <sheetName val="Tong hop KL VL,NC,M"/>
      <sheetName val="Phan tich KL VL,NC,M"/>
    </sheetNames>
    <sheetDataSet>
      <sheetData sheetId="0" refreshError="1"/>
      <sheetData sheetId="1" refreshError="1"/>
      <sheetData sheetId="2" refreshError="1">
        <row r="10">
          <cell r="F10">
            <v>1990739000</v>
          </cell>
        </row>
        <row r="18">
          <cell r="F18">
            <v>15437000</v>
          </cell>
        </row>
        <row r="19">
          <cell r="F19">
            <v>35180388</v>
          </cell>
        </row>
        <row r="20">
          <cell r="F20">
            <v>57973000</v>
          </cell>
        </row>
        <row r="27">
          <cell r="F27">
            <v>9772000</v>
          </cell>
        </row>
        <row r="28">
          <cell r="F28">
            <v>9954000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9" sqref="A9:IV11"/>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421</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v>0</v>
      </c>
      <c r="D5" s="221"/>
      <c r="E5" s="222"/>
      <c r="F5" s="222"/>
      <c r="G5" s="222"/>
      <c r="H5" s="222"/>
      <c r="I5" s="222"/>
      <c r="J5" s="225"/>
    </row>
    <row r="6" spans="1:10">
      <c r="A6" s="221" t="s">
        <v>60</v>
      </c>
      <c r="B6" s="223" t="s">
        <v>76</v>
      </c>
      <c r="C6" s="224">
        <f>+C7+C9</f>
        <v>1920203600</v>
      </c>
      <c r="D6" s="319"/>
      <c r="E6" s="222"/>
      <c r="F6" s="222"/>
      <c r="G6" s="222"/>
      <c r="H6" s="222"/>
      <c r="I6" s="222"/>
      <c r="J6" s="225"/>
    </row>
    <row r="7" spans="1:10" ht="31.5">
      <c r="A7" s="221" t="s">
        <v>78</v>
      </c>
      <c r="B7" s="223" t="s">
        <v>58</v>
      </c>
      <c r="C7" s="224">
        <f>SUM(C8:C8)</f>
        <v>19056600</v>
      </c>
      <c r="D7" s="319"/>
      <c r="E7" s="222"/>
      <c r="F7" s="222"/>
      <c r="G7" s="222"/>
      <c r="H7" s="222"/>
      <c r="I7" s="222"/>
      <c r="J7" s="225"/>
    </row>
    <row r="8" spans="1:10" s="244" customFormat="1">
      <c r="A8" s="237" t="s">
        <v>77</v>
      </c>
      <c r="B8" s="238" t="s">
        <v>383</v>
      </c>
      <c r="C8" s="264">
        <f>31761000*0.6</f>
        <v>19056600</v>
      </c>
      <c r="D8" s="319"/>
      <c r="E8" s="240"/>
      <c r="F8" s="265"/>
      <c r="G8" s="241"/>
      <c r="H8" s="240"/>
      <c r="I8" s="241"/>
      <c r="J8" s="234"/>
    </row>
    <row r="9" spans="1:10">
      <c r="A9" s="221" t="s">
        <v>81</v>
      </c>
      <c r="B9" s="223" t="s">
        <v>59</v>
      </c>
      <c r="C9" s="224">
        <f>ROUND(SUM(C10:C14),-3)</f>
        <v>1901147000</v>
      </c>
      <c r="D9" s="319"/>
      <c r="E9" s="222"/>
      <c r="F9" s="222"/>
      <c r="G9" s="222"/>
      <c r="H9" s="222"/>
      <c r="I9" s="222"/>
      <c r="J9" s="225"/>
    </row>
    <row r="10" spans="1:10" ht="31.5">
      <c r="A10" s="226" t="s">
        <v>77</v>
      </c>
      <c r="B10" s="227" t="s">
        <v>419</v>
      </c>
      <c r="C10" s="228">
        <v>8527000</v>
      </c>
      <c r="D10" s="319"/>
      <c r="E10" s="229" t="s">
        <v>13</v>
      </c>
      <c r="F10" s="230"/>
      <c r="G10" s="230" t="s">
        <v>396</v>
      </c>
      <c r="H10" s="229" t="s">
        <v>16</v>
      </c>
      <c r="I10" s="230" t="s">
        <v>45</v>
      </c>
      <c r="J10" s="245"/>
    </row>
    <row r="11" spans="1:10" ht="31.5">
      <c r="A11" s="226" t="s">
        <v>77</v>
      </c>
      <c r="B11" s="227" t="s">
        <v>420</v>
      </c>
      <c r="C11" s="228">
        <v>2000000</v>
      </c>
      <c r="D11" s="319"/>
      <c r="E11" s="229" t="s">
        <v>13</v>
      </c>
      <c r="F11" s="230"/>
      <c r="G11" s="230" t="s">
        <v>396</v>
      </c>
      <c r="H11" s="229" t="s">
        <v>16</v>
      </c>
      <c r="I11" s="230" t="s">
        <v>17</v>
      </c>
      <c r="J11" s="245"/>
    </row>
    <row r="12" spans="1:10" ht="30">
      <c r="A12" s="226" t="s">
        <v>77</v>
      </c>
      <c r="B12" s="227" t="s">
        <v>384</v>
      </c>
      <c r="C12" s="264">
        <f>31761000*0.4</f>
        <v>12704400</v>
      </c>
      <c r="D12" s="319"/>
      <c r="E12" s="229" t="s">
        <v>13</v>
      </c>
      <c r="F12" s="222"/>
      <c r="G12" s="230" t="s">
        <v>396</v>
      </c>
      <c r="H12" s="229" t="s">
        <v>16</v>
      </c>
      <c r="I12" s="230" t="s">
        <v>46</v>
      </c>
      <c r="J12" s="225"/>
    </row>
    <row r="13" spans="1:10" ht="45">
      <c r="A13" s="226" t="s">
        <v>77</v>
      </c>
      <c r="B13" s="227" t="s">
        <v>394</v>
      </c>
      <c r="C13" s="228">
        <v>1833041000</v>
      </c>
      <c r="D13" s="319"/>
      <c r="E13" s="229" t="s">
        <v>389</v>
      </c>
      <c r="F13" s="230" t="s">
        <v>14</v>
      </c>
      <c r="G13" s="230" t="s">
        <v>396</v>
      </c>
      <c r="H13" s="229" t="s">
        <v>16</v>
      </c>
      <c r="I13" s="230" t="s">
        <v>37</v>
      </c>
      <c r="J13" s="245"/>
    </row>
    <row r="14" spans="1:10" ht="31.5">
      <c r="A14" s="226" t="s">
        <v>77</v>
      </c>
      <c r="B14" s="227" t="s">
        <v>398</v>
      </c>
      <c r="C14" s="228">
        <v>44875000</v>
      </c>
      <c r="D14" s="319"/>
      <c r="E14" s="229" t="s">
        <v>13</v>
      </c>
      <c r="F14" s="229"/>
      <c r="G14" s="230" t="s">
        <v>396</v>
      </c>
      <c r="H14" s="229" t="s">
        <v>16</v>
      </c>
      <c r="I14" s="230" t="s">
        <v>319</v>
      </c>
      <c r="J14" s="236"/>
    </row>
    <row r="15" spans="1:10">
      <c r="A15" s="221"/>
      <c r="B15" s="223" t="s">
        <v>64</v>
      </c>
      <c r="C15" s="224">
        <f>ROUND((C5+C6),-3)</f>
        <v>1920204000</v>
      </c>
      <c r="D15" s="222"/>
      <c r="E15" s="222"/>
      <c r="F15" s="222"/>
      <c r="G15" s="222"/>
      <c r="H15" s="222"/>
      <c r="I15" s="222"/>
      <c r="J15" s="225"/>
    </row>
    <row r="16" spans="1:10" s="246" customFormat="1" ht="21.75" customHeight="1">
      <c r="A16" s="320" t="s">
        <v>27</v>
      </c>
      <c r="B16" s="320"/>
      <c r="C16" s="320"/>
      <c r="D16" s="320"/>
      <c r="E16" s="320"/>
      <c r="F16" s="320"/>
      <c r="G16" s="320"/>
      <c r="H16" s="320"/>
      <c r="I16" s="320"/>
    </row>
    <row r="17" spans="1:9" s="246" customFormat="1" ht="16.5">
      <c r="A17" s="315" t="s">
        <v>406</v>
      </c>
      <c r="B17" s="315"/>
      <c r="C17" s="315"/>
      <c r="D17" s="315"/>
      <c r="E17" s="315"/>
      <c r="F17" s="315"/>
      <c r="G17" s="315"/>
      <c r="H17" s="315"/>
      <c r="I17" s="315"/>
    </row>
    <row r="18" spans="1:9" s="246" customFormat="1"/>
    <row r="19" spans="1:9" s="246" customFormat="1"/>
    <row r="20" spans="1:9" s="246" customFormat="1"/>
    <row r="21" spans="1:9" s="246" customFormat="1"/>
    <row r="22" spans="1:9" s="246" customFormat="1"/>
    <row r="23" spans="1:9" s="246" customFormat="1"/>
    <row r="24" spans="1:9" s="246" customFormat="1"/>
  </sheetData>
  <mergeCells count="6">
    <mergeCell ref="A17:I17"/>
    <mergeCell ref="A1:I1"/>
    <mergeCell ref="A2:I2"/>
    <mergeCell ref="H3:I3"/>
    <mergeCell ref="D6:D14"/>
    <mergeCell ref="A16:I16"/>
  </mergeCells>
  <phoneticPr fontId="4" type="noConversion"/>
  <pageMargins left="0.39" right="0.32" top="0.62" bottom="0.56000000000000005" header="0.5" footer="0.5"/>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21" workbookViewId="0">
      <selection activeCell="B30" sqref="B30"/>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0"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378</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49695000</v>
      </c>
      <c r="D5" s="221"/>
      <c r="E5" s="222"/>
      <c r="F5" s="222"/>
      <c r="G5" s="222"/>
      <c r="H5" s="222"/>
      <c r="I5" s="222"/>
      <c r="J5" s="225"/>
    </row>
    <row r="6" spans="1:10" ht="31.5">
      <c r="A6" s="226" t="s">
        <v>77</v>
      </c>
      <c r="B6" s="227" t="s">
        <v>379</v>
      </c>
      <c r="C6" s="228">
        <f>16324000+28243000</f>
        <v>44567000</v>
      </c>
      <c r="D6" s="326" t="s">
        <v>373</v>
      </c>
      <c r="E6" s="229" t="s">
        <v>13</v>
      </c>
      <c r="F6" s="222"/>
      <c r="G6" s="230"/>
      <c r="H6" s="229" t="s">
        <v>16</v>
      </c>
      <c r="I6" s="230" t="s">
        <v>66</v>
      </c>
      <c r="J6" s="225"/>
    </row>
    <row r="7" spans="1:10">
      <c r="A7" s="226" t="s">
        <v>77</v>
      </c>
      <c r="B7" s="227" t="s">
        <v>80</v>
      </c>
      <c r="C7" s="228">
        <v>2033000</v>
      </c>
      <c r="D7" s="319"/>
      <c r="E7" s="229" t="s">
        <v>13</v>
      </c>
      <c r="F7" s="231"/>
      <c r="G7" s="231"/>
      <c r="H7" s="229" t="s">
        <v>16</v>
      </c>
      <c r="I7" s="230" t="s">
        <v>17</v>
      </c>
      <c r="J7" s="221"/>
    </row>
    <row r="8" spans="1:10" s="244" customFormat="1">
      <c r="A8" s="237" t="s">
        <v>77</v>
      </c>
      <c r="B8" s="238" t="s">
        <v>366</v>
      </c>
      <c r="C8" s="239">
        <v>3000000</v>
      </c>
      <c r="D8" s="319"/>
      <c r="E8" s="262"/>
      <c r="F8" s="262"/>
      <c r="G8" s="262"/>
      <c r="H8" s="262"/>
      <c r="I8" s="262"/>
      <c r="J8" s="263"/>
    </row>
    <row r="9" spans="1:10">
      <c r="A9" s="226" t="s">
        <v>77</v>
      </c>
      <c r="B9" s="227" t="s">
        <v>61</v>
      </c>
      <c r="C9" s="228">
        <v>95000</v>
      </c>
      <c r="D9" s="319"/>
      <c r="E9" s="231"/>
      <c r="F9" s="231"/>
      <c r="G9" s="231"/>
      <c r="H9" s="231"/>
      <c r="I9" s="231"/>
      <c r="J9" s="221"/>
    </row>
    <row r="10" spans="1:10">
      <c r="A10" s="221" t="s">
        <v>60</v>
      </c>
      <c r="B10" s="223" t="s">
        <v>76</v>
      </c>
      <c r="C10" s="224">
        <f>+C11+C15</f>
        <v>535092200</v>
      </c>
      <c r="D10" s="319"/>
      <c r="E10" s="222"/>
      <c r="F10" s="222"/>
      <c r="G10" s="222"/>
      <c r="H10" s="222"/>
      <c r="I10" s="222"/>
      <c r="J10" s="225"/>
    </row>
    <row r="11" spans="1:10" ht="31.5">
      <c r="A11" s="221" t="s">
        <v>78</v>
      </c>
      <c r="B11" s="223" t="s">
        <v>58</v>
      </c>
      <c r="C11" s="224">
        <f>SUM(C12:C14)</f>
        <v>27728200</v>
      </c>
      <c r="D11" s="319"/>
      <c r="E11" s="222"/>
      <c r="F11" s="222"/>
      <c r="G11" s="222"/>
      <c r="H11" s="222"/>
      <c r="I11" s="222"/>
      <c r="J11" s="225"/>
    </row>
    <row r="12" spans="1:10">
      <c r="A12" s="226" t="s">
        <v>77</v>
      </c>
      <c r="B12" s="227" t="s">
        <v>158</v>
      </c>
      <c r="C12" s="228">
        <v>14846000</v>
      </c>
      <c r="D12" s="319"/>
      <c r="E12" s="231"/>
      <c r="F12" s="231"/>
      <c r="G12" s="231"/>
      <c r="H12" s="231"/>
      <c r="I12" s="231"/>
      <c r="J12" s="328"/>
    </row>
    <row r="13" spans="1:10">
      <c r="A13" s="226" t="s">
        <v>77</v>
      </c>
      <c r="B13" s="227" t="s">
        <v>383</v>
      </c>
      <c r="C13" s="264">
        <f>12287000*0.6</f>
        <v>7372200</v>
      </c>
      <c r="D13" s="319"/>
      <c r="E13" s="229"/>
      <c r="F13" s="222"/>
      <c r="G13" s="230"/>
      <c r="H13" s="229"/>
      <c r="I13" s="230"/>
      <c r="J13" s="328"/>
    </row>
    <row r="14" spans="1:10" ht="15" customHeight="1">
      <c r="A14" s="226" t="s">
        <v>77</v>
      </c>
      <c r="B14" s="227" t="s">
        <v>63</v>
      </c>
      <c r="C14" s="228">
        <v>5510000</v>
      </c>
      <c r="D14" s="319"/>
      <c r="E14" s="231"/>
      <c r="F14" s="231"/>
      <c r="G14" s="231"/>
      <c r="H14" s="231"/>
      <c r="I14" s="231"/>
      <c r="J14" s="328"/>
    </row>
    <row r="15" spans="1:10">
      <c r="A15" s="221" t="s">
        <v>81</v>
      </c>
      <c r="B15" s="223" t="s">
        <v>59</v>
      </c>
      <c r="C15" s="224">
        <f>ROUND(SUM(C16:C21),-3)</f>
        <v>507364000</v>
      </c>
      <c r="D15" s="319"/>
      <c r="E15" s="222"/>
      <c r="F15" s="222"/>
      <c r="G15" s="222"/>
      <c r="H15" s="222"/>
      <c r="I15" s="222"/>
      <c r="J15" s="225"/>
    </row>
    <row r="16" spans="1:10" s="244" customFormat="1" ht="31.5" hidden="1">
      <c r="A16" s="237" t="s">
        <v>77</v>
      </c>
      <c r="B16" s="238" t="s">
        <v>371</v>
      </c>
      <c r="C16" s="239">
        <v>0</v>
      </c>
      <c r="D16" s="319"/>
      <c r="E16" s="240" t="s">
        <v>13</v>
      </c>
      <c r="F16" s="241"/>
      <c r="G16" s="241" t="s">
        <v>380</v>
      </c>
      <c r="H16" s="240" t="s">
        <v>16</v>
      </c>
      <c r="I16" s="241" t="s">
        <v>45</v>
      </c>
      <c r="J16" s="242"/>
    </row>
    <row r="17" spans="1:10" s="244" customFormat="1" ht="31.5" hidden="1">
      <c r="A17" s="237" t="s">
        <v>77</v>
      </c>
      <c r="B17" s="238" t="s">
        <v>369</v>
      </c>
      <c r="C17" s="239">
        <v>0</v>
      </c>
      <c r="D17" s="319"/>
      <c r="E17" s="240" t="s">
        <v>13</v>
      </c>
      <c r="F17" s="241"/>
      <c r="G17" s="241" t="s">
        <v>380</v>
      </c>
      <c r="H17" s="240" t="s">
        <v>16</v>
      </c>
      <c r="I17" s="241" t="s">
        <v>17</v>
      </c>
      <c r="J17" s="242"/>
    </row>
    <row r="18" spans="1:10" ht="30">
      <c r="A18" s="226" t="s">
        <v>77</v>
      </c>
      <c r="B18" s="227" t="s">
        <v>384</v>
      </c>
      <c r="C18" s="264">
        <f>12287000*0.4</f>
        <v>4914800</v>
      </c>
      <c r="D18" s="319"/>
      <c r="E18" s="229" t="s">
        <v>13</v>
      </c>
      <c r="F18" s="222"/>
      <c r="G18" s="230" t="s">
        <v>380</v>
      </c>
      <c r="H18" s="229" t="s">
        <v>16</v>
      </c>
      <c r="I18" s="230" t="s">
        <v>46</v>
      </c>
      <c r="J18" s="225"/>
    </row>
    <row r="19" spans="1:10" ht="30">
      <c r="A19" s="226" t="s">
        <v>77</v>
      </c>
      <c r="B19" s="227" t="s">
        <v>385</v>
      </c>
      <c r="C19" s="228">
        <f>489163000</f>
        <v>489163000</v>
      </c>
      <c r="D19" s="319"/>
      <c r="E19" s="229" t="s">
        <v>13</v>
      </c>
      <c r="F19" s="230"/>
      <c r="G19" s="230" t="s">
        <v>380</v>
      </c>
      <c r="H19" s="229" t="s">
        <v>16</v>
      </c>
      <c r="I19" s="230" t="s">
        <v>66</v>
      </c>
      <c r="J19" s="245"/>
    </row>
    <row r="20" spans="1:10" ht="31.5">
      <c r="A20" s="226" t="s">
        <v>77</v>
      </c>
      <c r="B20" s="227" t="s">
        <v>381</v>
      </c>
      <c r="C20" s="228">
        <v>12552000</v>
      </c>
      <c r="D20" s="319"/>
      <c r="E20" s="229" t="s">
        <v>13</v>
      </c>
      <c r="F20" s="229"/>
      <c r="G20" s="230" t="s">
        <v>380</v>
      </c>
      <c r="H20" s="229" t="s">
        <v>16</v>
      </c>
      <c r="I20" s="230" t="s">
        <v>319</v>
      </c>
      <c r="J20" s="236"/>
    </row>
    <row r="21" spans="1:10" ht="30">
      <c r="A21" s="226" t="s">
        <v>77</v>
      </c>
      <c r="B21" s="227" t="s">
        <v>318</v>
      </c>
      <c r="C21" s="228">
        <v>734000</v>
      </c>
      <c r="D21" s="327"/>
      <c r="E21" s="229" t="s">
        <v>13</v>
      </c>
      <c r="F21" s="229"/>
      <c r="G21" s="230" t="s">
        <v>380</v>
      </c>
      <c r="H21" s="229" t="s">
        <v>16</v>
      </c>
      <c r="I21" s="230" t="s">
        <v>46</v>
      </c>
      <c r="J21" s="225"/>
    </row>
    <row r="22" spans="1:10">
      <c r="A22" s="221"/>
      <c r="B22" s="223" t="s">
        <v>64</v>
      </c>
      <c r="C22" s="224">
        <f>ROUND((C5+C10),-3)</f>
        <v>584787000</v>
      </c>
      <c r="D22" s="222"/>
      <c r="E22" s="222"/>
      <c r="F22" s="222"/>
      <c r="G22" s="222"/>
      <c r="H22" s="222"/>
      <c r="I22" s="222"/>
      <c r="J22" s="225"/>
    </row>
    <row r="23" spans="1:10" ht="41.25" customHeight="1"/>
    <row r="24" spans="1:10" ht="16.5">
      <c r="A24" s="316" t="s">
        <v>27</v>
      </c>
      <c r="B24" s="316"/>
      <c r="C24" s="316"/>
      <c r="D24" s="316"/>
      <c r="E24" s="316"/>
      <c r="F24" s="316"/>
      <c r="G24" s="316"/>
      <c r="H24" s="316"/>
      <c r="I24" s="316"/>
    </row>
    <row r="25" spans="1:10" ht="16.5">
      <c r="A25" s="317" t="s">
        <v>386</v>
      </c>
      <c r="B25" s="317"/>
      <c r="C25" s="317"/>
      <c r="D25" s="317"/>
      <c r="E25" s="317"/>
      <c r="F25" s="317"/>
      <c r="G25" s="317"/>
      <c r="H25" s="317"/>
      <c r="I25" s="317"/>
    </row>
    <row r="26" spans="1:10">
      <c r="H26" s="318"/>
      <c r="I26" s="318"/>
    </row>
    <row r="27" spans="1:10" ht="63">
      <c r="A27" s="221" t="s">
        <v>21</v>
      </c>
      <c r="B27" s="221" t="s">
        <v>0</v>
      </c>
      <c r="C27" s="221" t="s">
        <v>83</v>
      </c>
      <c r="D27" s="221" t="s">
        <v>1</v>
      </c>
      <c r="E27" s="221" t="s">
        <v>2</v>
      </c>
      <c r="F27" s="221" t="s">
        <v>3</v>
      </c>
      <c r="G27" s="221" t="s">
        <v>4</v>
      </c>
      <c r="H27" s="221" t="s">
        <v>5</v>
      </c>
      <c r="I27" s="221" t="s">
        <v>6</v>
      </c>
      <c r="J27" s="221" t="s">
        <v>65</v>
      </c>
    </row>
    <row r="28" spans="1:10">
      <c r="A28" s="221" t="s">
        <v>57</v>
      </c>
      <c r="B28" s="223" t="s">
        <v>75</v>
      </c>
      <c r="C28" s="224">
        <f>SUM(C29:C32)</f>
        <v>49695000</v>
      </c>
      <c r="D28" s="221"/>
      <c r="E28" s="222"/>
      <c r="F28" s="222"/>
      <c r="G28" s="222"/>
      <c r="H28" s="222"/>
      <c r="I28" s="222"/>
      <c r="J28" s="225"/>
    </row>
    <row r="29" spans="1:10" ht="31.5" customHeight="1">
      <c r="A29" s="226" t="s">
        <v>77</v>
      </c>
      <c r="B29" s="227" t="s">
        <v>379</v>
      </c>
      <c r="C29" s="228">
        <f>16324000+28243000</f>
        <v>44567000</v>
      </c>
      <c r="D29" s="326" t="s">
        <v>373</v>
      </c>
      <c r="E29" s="229" t="s">
        <v>13</v>
      </c>
      <c r="F29" s="222"/>
      <c r="G29" s="230"/>
      <c r="H29" s="229" t="s">
        <v>16</v>
      </c>
      <c r="I29" s="230" t="s">
        <v>66</v>
      </c>
      <c r="J29" s="225"/>
    </row>
    <row r="30" spans="1:10">
      <c r="A30" s="226" t="s">
        <v>77</v>
      </c>
      <c r="B30" s="227" t="s">
        <v>80</v>
      </c>
      <c r="C30" s="228">
        <v>2033000</v>
      </c>
      <c r="D30" s="319"/>
      <c r="E30" s="229" t="s">
        <v>13</v>
      </c>
      <c r="F30" s="231"/>
      <c r="G30" s="231"/>
      <c r="H30" s="229" t="s">
        <v>16</v>
      </c>
      <c r="I30" s="230" t="s">
        <v>17</v>
      </c>
      <c r="J30" s="221"/>
    </row>
    <row r="31" spans="1:10">
      <c r="A31" s="237" t="s">
        <v>77</v>
      </c>
      <c r="B31" s="238" t="s">
        <v>366</v>
      </c>
      <c r="C31" s="239">
        <v>3000000</v>
      </c>
      <c r="D31" s="319"/>
      <c r="E31" s="262"/>
      <c r="F31" s="262"/>
      <c r="G31" s="262"/>
      <c r="H31" s="262"/>
      <c r="I31" s="262"/>
      <c r="J31" s="263"/>
    </row>
    <row r="32" spans="1:10">
      <c r="A32" s="226" t="s">
        <v>77</v>
      </c>
      <c r="B32" s="227" t="s">
        <v>61</v>
      </c>
      <c r="C32" s="228">
        <v>95000</v>
      </c>
      <c r="D32" s="319"/>
      <c r="E32" s="231"/>
      <c r="F32" s="231"/>
      <c r="G32" s="231"/>
      <c r="H32" s="231"/>
      <c r="I32" s="231"/>
      <c r="J32" s="221"/>
    </row>
    <row r="33" spans="1:10">
      <c r="A33" s="221" t="s">
        <v>60</v>
      </c>
      <c r="B33" s="223" t="s">
        <v>76</v>
      </c>
      <c r="C33" s="224">
        <f>+C34+C38</f>
        <v>535092200</v>
      </c>
      <c r="D33" s="319"/>
      <c r="E33" s="222"/>
      <c r="F33" s="222"/>
      <c r="G33" s="222"/>
      <c r="H33" s="222"/>
      <c r="I33" s="222"/>
      <c r="J33" s="225"/>
    </row>
    <row r="34" spans="1:10" ht="31.5">
      <c r="A34" s="221" t="s">
        <v>78</v>
      </c>
      <c r="B34" s="223" t="s">
        <v>58</v>
      </c>
      <c r="C34" s="224">
        <f>SUM(C35:C37)</f>
        <v>27728200</v>
      </c>
      <c r="D34" s="319"/>
      <c r="E34" s="222"/>
      <c r="F34" s="222"/>
      <c r="G34" s="222"/>
      <c r="H34" s="222"/>
      <c r="I34" s="222"/>
      <c r="J34" s="225"/>
    </row>
    <row r="35" spans="1:10">
      <c r="A35" s="226" t="s">
        <v>77</v>
      </c>
      <c r="B35" s="227" t="s">
        <v>158</v>
      </c>
      <c r="C35" s="228">
        <v>14846000</v>
      </c>
      <c r="D35" s="319"/>
      <c r="E35" s="231"/>
      <c r="F35" s="231"/>
      <c r="G35" s="231"/>
      <c r="H35" s="231"/>
      <c r="I35" s="231"/>
      <c r="J35" s="328"/>
    </row>
    <row r="36" spans="1:10">
      <c r="A36" s="226" t="s">
        <v>77</v>
      </c>
      <c r="B36" s="227" t="s">
        <v>383</v>
      </c>
      <c r="C36" s="264">
        <f>12287000*0.6</f>
        <v>7372200</v>
      </c>
      <c r="D36" s="319"/>
      <c r="E36" s="229"/>
      <c r="F36" s="222"/>
      <c r="G36" s="230"/>
      <c r="H36" s="229"/>
      <c r="I36" s="230"/>
      <c r="J36" s="328"/>
    </row>
    <row r="37" spans="1:10">
      <c r="A37" s="226" t="s">
        <v>77</v>
      </c>
      <c r="B37" s="227" t="s">
        <v>63</v>
      </c>
      <c r="C37" s="228">
        <v>5510000</v>
      </c>
      <c r="D37" s="319"/>
      <c r="E37" s="231"/>
      <c r="F37" s="231"/>
      <c r="G37" s="231"/>
      <c r="H37" s="231"/>
      <c r="I37" s="231"/>
      <c r="J37" s="328"/>
    </row>
    <row r="38" spans="1:10">
      <c r="A38" s="221" t="s">
        <v>81</v>
      </c>
      <c r="B38" s="223" t="s">
        <v>59</v>
      </c>
      <c r="C38" s="224">
        <f>ROUND(SUM(C39:C44),-3)</f>
        <v>507364000</v>
      </c>
      <c r="D38" s="319"/>
      <c r="E38" s="222"/>
      <c r="F38" s="222"/>
      <c r="G38" s="222"/>
      <c r="H38" s="222"/>
      <c r="I38" s="222"/>
      <c r="J38" s="225"/>
    </row>
    <row r="39" spans="1:10" ht="45" hidden="1" customHeight="1">
      <c r="A39" s="237" t="s">
        <v>77</v>
      </c>
      <c r="B39" s="238" t="s">
        <v>371</v>
      </c>
      <c r="C39" s="239">
        <v>0</v>
      </c>
      <c r="D39" s="319"/>
      <c r="E39" s="240" t="s">
        <v>13</v>
      </c>
      <c r="F39" s="241"/>
      <c r="G39" s="241" t="s">
        <v>380</v>
      </c>
      <c r="H39" s="240" t="s">
        <v>16</v>
      </c>
      <c r="I39" s="241" t="s">
        <v>45</v>
      </c>
      <c r="J39" s="242"/>
    </row>
    <row r="40" spans="1:10" ht="31.5" hidden="1">
      <c r="A40" s="237" t="s">
        <v>77</v>
      </c>
      <c r="B40" s="238" t="s">
        <v>369</v>
      </c>
      <c r="C40" s="239">
        <v>0</v>
      </c>
      <c r="D40" s="319"/>
      <c r="E40" s="240" t="s">
        <v>13</v>
      </c>
      <c r="F40" s="241"/>
      <c r="G40" s="241" t="s">
        <v>380</v>
      </c>
      <c r="H40" s="240" t="s">
        <v>16</v>
      </c>
      <c r="I40" s="241" t="s">
        <v>17</v>
      </c>
      <c r="J40" s="242"/>
    </row>
    <row r="41" spans="1:10" ht="30">
      <c r="A41" s="226" t="s">
        <v>77</v>
      </c>
      <c r="B41" s="227" t="s">
        <v>384</v>
      </c>
      <c r="C41" s="264">
        <f>12287000*0.4</f>
        <v>4914800</v>
      </c>
      <c r="D41" s="319"/>
      <c r="E41" s="229" t="s">
        <v>13</v>
      </c>
      <c r="F41" s="222"/>
      <c r="G41" s="230" t="s">
        <v>380</v>
      </c>
      <c r="H41" s="229" t="s">
        <v>16</v>
      </c>
      <c r="I41" s="230" t="s">
        <v>46</v>
      </c>
      <c r="J41" s="225"/>
    </row>
    <row r="42" spans="1:10" ht="30">
      <c r="A42" s="226" t="s">
        <v>77</v>
      </c>
      <c r="B42" s="227" t="s">
        <v>385</v>
      </c>
      <c r="C42" s="228">
        <f>489163000</f>
        <v>489163000</v>
      </c>
      <c r="D42" s="319"/>
      <c r="E42" s="229" t="s">
        <v>13</v>
      </c>
      <c r="F42" s="230"/>
      <c r="G42" s="230" t="s">
        <v>380</v>
      </c>
      <c r="H42" s="229" t="s">
        <v>16</v>
      </c>
      <c r="I42" s="230" t="s">
        <v>66</v>
      </c>
      <c r="J42" s="245"/>
    </row>
    <row r="43" spans="1:10" ht="31.5">
      <c r="A43" s="226" t="s">
        <v>77</v>
      </c>
      <c r="B43" s="227" t="s">
        <v>381</v>
      </c>
      <c r="C43" s="228">
        <v>12552000</v>
      </c>
      <c r="D43" s="319"/>
      <c r="E43" s="229" t="s">
        <v>13</v>
      </c>
      <c r="F43" s="229"/>
      <c r="G43" s="230" t="s">
        <v>380</v>
      </c>
      <c r="H43" s="229" t="s">
        <v>16</v>
      </c>
      <c r="I43" s="230" t="s">
        <v>319</v>
      </c>
      <c r="J43" s="236"/>
    </row>
    <row r="44" spans="1:10" ht="30">
      <c r="A44" s="226" t="s">
        <v>77</v>
      </c>
      <c r="B44" s="227" t="s">
        <v>318</v>
      </c>
      <c r="C44" s="228">
        <v>734000</v>
      </c>
      <c r="D44" s="327"/>
      <c r="E44" s="229" t="s">
        <v>13</v>
      </c>
      <c r="F44" s="229"/>
      <c r="G44" s="230" t="s">
        <v>380</v>
      </c>
      <c r="H44" s="229" t="s">
        <v>16</v>
      </c>
      <c r="I44" s="230" t="s">
        <v>46</v>
      </c>
      <c r="J44" s="225"/>
    </row>
    <row r="45" spans="1:10">
      <c r="A45" s="221"/>
      <c r="B45" s="223" t="s">
        <v>64</v>
      </c>
      <c r="C45" s="224">
        <f>ROUND((C28+C33),-3)</f>
        <v>584787000</v>
      </c>
      <c r="D45" s="222"/>
      <c r="E45" s="222"/>
      <c r="F45" s="222"/>
      <c r="G45" s="222"/>
      <c r="H45" s="222"/>
      <c r="I45" s="222"/>
      <c r="J45" s="225"/>
    </row>
  </sheetData>
  <mergeCells count="10">
    <mergeCell ref="A1:I1"/>
    <mergeCell ref="A2:I2"/>
    <mergeCell ref="H3:I3"/>
    <mergeCell ref="D6:D21"/>
    <mergeCell ref="D29:D44"/>
    <mergeCell ref="J35:J37"/>
    <mergeCell ref="J12:J14"/>
    <mergeCell ref="A24:I24"/>
    <mergeCell ref="A25:I25"/>
    <mergeCell ref="H26:I26"/>
  </mergeCells>
  <phoneticPr fontId="4" type="noConversion"/>
  <pageMargins left="0.53" right="0.31" top="0.55000000000000004" bottom="0.8"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D6" sqref="D6:D20"/>
    </sheetView>
  </sheetViews>
  <sheetFormatPr defaultColWidth="9" defaultRowHeight="15.75"/>
  <cols>
    <col min="1" max="1" width="4.109375" style="220" customWidth="1"/>
    <col min="2" max="2" width="41.10937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3.7773437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378</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59983000</v>
      </c>
      <c r="D5" s="221"/>
      <c r="E5" s="222"/>
      <c r="F5" s="222"/>
      <c r="G5" s="222"/>
      <c r="H5" s="222"/>
      <c r="I5" s="222"/>
      <c r="J5" s="225"/>
    </row>
    <row r="6" spans="1:10" ht="31.5">
      <c r="A6" s="226" t="s">
        <v>77</v>
      </c>
      <c r="B6" s="227" t="s">
        <v>379</v>
      </c>
      <c r="C6" s="228">
        <f>7190000+48603000</f>
        <v>55793000</v>
      </c>
      <c r="D6" s="326" t="s">
        <v>373</v>
      </c>
      <c r="E6" s="229" t="s">
        <v>13</v>
      </c>
      <c r="F6" s="222"/>
      <c r="G6" s="230"/>
      <c r="H6" s="229" t="s">
        <v>16</v>
      </c>
      <c r="I6" s="230" t="s">
        <v>66</v>
      </c>
      <c r="J6" s="225"/>
    </row>
    <row r="7" spans="1:10">
      <c r="A7" s="226" t="s">
        <v>77</v>
      </c>
      <c r="B7" s="227" t="s">
        <v>80</v>
      </c>
      <c r="C7" s="228">
        <v>4000000</v>
      </c>
      <c r="D7" s="319"/>
      <c r="E7" s="229" t="s">
        <v>13</v>
      </c>
      <c r="F7" s="231"/>
      <c r="G7" s="231"/>
      <c r="H7" s="229" t="s">
        <v>16</v>
      </c>
      <c r="I7" s="230" t="s">
        <v>45</v>
      </c>
      <c r="J7" s="221"/>
    </row>
    <row r="8" spans="1:10">
      <c r="A8" s="226" t="s">
        <v>77</v>
      </c>
      <c r="B8" s="227" t="s">
        <v>61</v>
      </c>
      <c r="C8" s="228">
        <v>190000</v>
      </c>
      <c r="D8" s="319"/>
      <c r="E8" s="231"/>
      <c r="F8" s="231"/>
      <c r="G8" s="231"/>
      <c r="H8" s="231"/>
      <c r="I8" s="231"/>
      <c r="J8" s="221"/>
    </row>
    <row r="9" spans="1:10">
      <c r="A9" s="221" t="s">
        <v>60</v>
      </c>
      <c r="B9" s="223" t="s">
        <v>76</v>
      </c>
      <c r="C9" s="224">
        <f>+C10+C14</f>
        <v>940017400</v>
      </c>
      <c r="D9" s="319"/>
      <c r="E9" s="222"/>
      <c r="F9" s="222"/>
      <c r="G9" s="222"/>
      <c r="H9" s="222"/>
      <c r="I9" s="222"/>
      <c r="J9" s="225"/>
    </row>
    <row r="10" spans="1:10">
      <c r="A10" s="221" t="s">
        <v>78</v>
      </c>
      <c r="B10" s="223" t="s">
        <v>58</v>
      </c>
      <c r="C10" s="224">
        <f>SUM(C11:C13)</f>
        <v>38606400</v>
      </c>
      <c r="D10" s="319"/>
      <c r="E10" s="222"/>
      <c r="F10" s="222"/>
      <c r="G10" s="222"/>
      <c r="H10" s="222"/>
      <c r="I10" s="222"/>
      <c r="J10" s="225"/>
    </row>
    <row r="11" spans="1:10">
      <c r="A11" s="226" t="s">
        <v>77</v>
      </c>
      <c r="B11" s="227" t="s">
        <v>158</v>
      </c>
      <c r="C11" s="228">
        <v>20768000</v>
      </c>
      <c r="D11" s="319"/>
      <c r="E11" s="231"/>
      <c r="F11" s="231"/>
      <c r="G11" s="231"/>
      <c r="H11" s="231"/>
      <c r="I11" s="231"/>
      <c r="J11" s="328"/>
    </row>
    <row r="12" spans="1:10">
      <c r="A12" s="226" t="s">
        <v>77</v>
      </c>
      <c r="B12" s="227" t="s">
        <v>377</v>
      </c>
      <c r="C12" s="264">
        <f>20846000*0.4</f>
        <v>8338400</v>
      </c>
      <c r="D12" s="319"/>
      <c r="E12" s="229"/>
      <c r="F12" s="222"/>
      <c r="G12" s="230"/>
      <c r="H12" s="229"/>
      <c r="I12" s="230"/>
      <c r="J12" s="328"/>
    </row>
    <row r="13" spans="1:10">
      <c r="A13" s="226" t="s">
        <v>77</v>
      </c>
      <c r="B13" s="227" t="s">
        <v>63</v>
      </c>
      <c r="C13" s="228">
        <v>9500000</v>
      </c>
      <c r="D13" s="319"/>
      <c r="E13" s="231"/>
      <c r="F13" s="231"/>
      <c r="G13" s="231"/>
      <c r="H13" s="231"/>
      <c r="I13" s="231"/>
      <c r="J13" s="328"/>
    </row>
    <row r="14" spans="1:10">
      <c r="A14" s="221" t="s">
        <v>81</v>
      </c>
      <c r="B14" s="223" t="s">
        <v>59</v>
      </c>
      <c r="C14" s="224">
        <f>ROUND(SUM(C15:C20),-3)</f>
        <v>901411000</v>
      </c>
      <c r="D14" s="319"/>
      <c r="E14" s="222"/>
      <c r="F14" s="222"/>
      <c r="G14" s="222"/>
      <c r="H14" s="222"/>
      <c r="I14" s="222"/>
      <c r="J14" s="225"/>
    </row>
    <row r="15" spans="1:10" s="244" customFormat="1" ht="31.5">
      <c r="A15" s="237" t="s">
        <v>77</v>
      </c>
      <c r="B15" s="238" t="s">
        <v>371</v>
      </c>
      <c r="C15" s="239">
        <f>1348208+1647810</f>
        <v>2996018</v>
      </c>
      <c r="D15" s="319"/>
      <c r="E15" s="240" t="s">
        <v>13</v>
      </c>
      <c r="F15" s="241"/>
      <c r="G15" s="241" t="s">
        <v>380</v>
      </c>
      <c r="H15" s="240" t="s">
        <v>16</v>
      </c>
      <c r="I15" s="241" t="s">
        <v>45</v>
      </c>
      <c r="J15" s="242"/>
    </row>
    <row r="16" spans="1:10" s="244" customFormat="1" ht="30">
      <c r="A16" s="237" t="s">
        <v>77</v>
      </c>
      <c r="B16" s="238" t="s">
        <v>369</v>
      </c>
      <c r="C16" s="239">
        <v>2000000</v>
      </c>
      <c r="D16" s="319"/>
      <c r="E16" s="240" t="s">
        <v>13</v>
      </c>
      <c r="F16" s="241"/>
      <c r="G16" s="241" t="s">
        <v>380</v>
      </c>
      <c r="H16" s="240" t="s">
        <v>16</v>
      </c>
      <c r="I16" s="241" t="s">
        <v>17</v>
      </c>
      <c r="J16" s="242"/>
    </row>
    <row r="17" spans="1:10" ht="30">
      <c r="A17" s="226" t="s">
        <v>77</v>
      </c>
      <c r="B17" s="227" t="s">
        <v>376</v>
      </c>
      <c r="C17" s="264">
        <f>20846000*0.6</f>
        <v>12507600</v>
      </c>
      <c r="D17" s="319"/>
      <c r="E17" s="229" t="s">
        <v>13</v>
      </c>
      <c r="F17" s="222"/>
      <c r="G17" s="230" t="s">
        <v>380</v>
      </c>
      <c r="H17" s="229" t="s">
        <v>16</v>
      </c>
      <c r="I17" s="230" t="s">
        <v>46</v>
      </c>
      <c r="J17" s="225"/>
    </row>
    <row r="18" spans="1:10" ht="38.25">
      <c r="A18" s="226" t="s">
        <v>77</v>
      </c>
      <c r="B18" s="227" t="s">
        <v>370</v>
      </c>
      <c r="C18" s="228">
        <f>829922000+30199000</f>
        <v>860121000</v>
      </c>
      <c r="D18" s="319"/>
      <c r="E18" s="229" t="s">
        <v>13</v>
      </c>
      <c r="F18" s="230"/>
      <c r="G18" s="230" t="s">
        <v>380</v>
      </c>
      <c r="H18" s="229" t="s">
        <v>16</v>
      </c>
      <c r="I18" s="230" t="s">
        <v>130</v>
      </c>
      <c r="J18" s="245" t="s">
        <v>325</v>
      </c>
    </row>
    <row r="19" spans="1:10" ht="30">
      <c r="A19" s="226" t="s">
        <v>77</v>
      </c>
      <c r="B19" s="227" t="s">
        <v>50</v>
      </c>
      <c r="C19" s="228">
        <v>21296000</v>
      </c>
      <c r="D19" s="319"/>
      <c r="E19" s="229" t="s">
        <v>13</v>
      </c>
      <c r="F19" s="229"/>
      <c r="G19" s="230" t="s">
        <v>380</v>
      </c>
      <c r="H19" s="229" t="s">
        <v>16</v>
      </c>
      <c r="I19" s="230" t="s">
        <v>48</v>
      </c>
      <c r="J19" s="236"/>
    </row>
    <row r="20" spans="1:10" ht="30">
      <c r="A20" s="226" t="s">
        <v>77</v>
      </c>
      <c r="B20" s="227" t="s">
        <v>51</v>
      </c>
      <c r="C20" s="228">
        <v>2490000</v>
      </c>
      <c r="D20" s="327"/>
      <c r="E20" s="229" t="s">
        <v>13</v>
      </c>
      <c r="F20" s="229"/>
      <c r="G20" s="230" t="s">
        <v>380</v>
      </c>
      <c r="H20" s="229" t="s">
        <v>16</v>
      </c>
      <c r="I20" s="230" t="s">
        <v>46</v>
      </c>
      <c r="J20" s="225"/>
    </row>
    <row r="21" spans="1:10">
      <c r="A21" s="221"/>
      <c r="B21" s="223" t="s">
        <v>64</v>
      </c>
      <c r="C21" s="224">
        <f>ROUND((C5+C9),-3)</f>
        <v>1000000000</v>
      </c>
      <c r="D21" s="222"/>
      <c r="E21" s="222"/>
      <c r="F21" s="222"/>
      <c r="G21" s="222"/>
      <c r="H21" s="222"/>
      <c r="I21" s="222"/>
      <c r="J21" s="225"/>
    </row>
    <row r="22" spans="1:10" ht="41.25" customHeight="1"/>
    <row r="37" spans="1:10" ht="41.25" customHeight="1"/>
    <row r="38" spans="1:10" ht="41.25" customHeight="1"/>
    <row r="39" spans="1:10" ht="41.25" customHeight="1"/>
    <row r="40" spans="1:10" ht="41.25" customHeight="1"/>
    <row r="41" spans="1:10" ht="41.25" customHeight="1"/>
    <row r="42" spans="1:10" ht="41.25" customHeight="1"/>
    <row r="43" spans="1:10" ht="33.75" customHeight="1"/>
    <row r="44" spans="1:10" ht="16.5">
      <c r="A44" s="316" t="s">
        <v>27</v>
      </c>
      <c r="B44" s="316"/>
      <c r="C44" s="316"/>
      <c r="D44" s="316"/>
      <c r="E44" s="316"/>
      <c r="F44" s="316"/>
      <c r="G44" s="316"/>
      <c r="H44" s="316"/>
      <c r="I44" s="316"/>
    </row>
    <row r="45" spans="1:10" ht="16.5" customHeight="1">
      <c r="A45" s="317" t="s">
        <v>382</v>
      </c>
      <c r="B45" s="317"/>
      <c r="C45" s="317"/>
      <c r="D45" s="317"/>
      <c r="E45" s="317"/>
      <c r="F45" s="317"/>
      <c r="G45" s="317"/>
      <c r="H45" s="317"/>
      <c r="I45" s="317"/>
      <c r="J45" s="317"/>
    </row>
    <row r="46" spans="1:10">
      <c r="H46" s="318"/>
      <c r="I46" s="318"/>
    </row>
    <row r="47" spans="1:10" ht="63">
      <c r="A47" s="221" t="s">
        <v>21</v>
      </c>
      <c r="B47" s="221" t="s">
        <v>0</v>
      </c>
      <c r="C47" s="221" t="s">
        <v>83</v>
      </c>
      <c r="D47" s="221" t="s">
        <v>1</v>
      </c>
      <c r="E47" s="221" t="s">
        <v>2</v>
      </c>
      <c r="F47" s="221" t="s">
        <v>3</v>
      </c>
      <c r="G47" s="221" t="s">
        <v>4</v>
      </c>
      <c r="H47" s="221" t="s">
        <v>5</v>
      </c>
      <c r="I47" s="221" t="s">
        <v>6</v>
      </c>
      <c r="J47" s="221" t="s">
        <v>65</v>
      </c>
    </row>
    <row r="48" spans="1:10">
      <c r="A48" s="221" t="s">
        <v>57</v>
      </c>
      <c r="B48" s="223" t="s">
        <v>75</v>
      </c>
      <c r="C48" s="224">
        <f>SUM(C49:C51)</f>
        <v>59983000</v>
      </c>
      <c r="D48" s="221"/>
      <c r="E48" s="222"/>
      <c r="F48" s="222"/>
      <c r="G48" s="222"/>
      <c r="H48" s="222"/>
      <c r="I48" s="222"/>
      <c r="J48" s="225"/>
    </row>
    <row r="49" spans="1:10" ht="31.5" customHeight="1">
      <c r="A49" s="226" t="s">
        <v>77</v>
      </c>
      <c r="B49" s="227" t="s">
        <v>379</v>
      </c>
      <c r="C49" s="228">
        <f>7190000+48603000</f>
        <v>55793000</v>
      </c>
      <c r="D49" s="326" t="s">
        <v>373</v>
      </c>
      <c r="E49" s="229" t="s">
        <v>13</v>
      </c>
      <c r="F49" s="222"/>
      <c r="G49" s="230"/>
      <c r="H49" s="229" t="s">
        <v>16</v>
      </c>
      <c r="I49" s="230" t="s">
        <v>66</v>
      </c>
      <c r="J49" s="225"/>
    </row>
    <row r="50" spans="1:10" ht="31.5" customHeight="1">
      <c r="A50" s="226" t="s">
        <v>77</v>
      </c>
      <c r="B50" s="227" t="s">
        <v>80</v>
      </c>
      <c r="C50" s="228">
        <v>4000000</v>
      </c>
      <c r="D50" s="319"/>
      <c r="E50" s="229" t="s">
        <v>13</v>
      </c>
      <c r="F50" s="231"/>
      <c r="G50" s="231"/>
      <c r="H50" s="229" t="s">
        <v>16</v>
      </c>
      <c r="I50" s="230" t="s">
        <v>45</v>
      </c>
      <c r="J50" s="221"/>
    </row>
    <row r="51" spans="1:10">
      <c r="A51" s="226" t="s">
        <v>77</v>
      </c>
      <c r="B51" s="227" t="s">
        <v>61</v>
      </c>
      <c r="C51" s="228">
        <v>190000</v>
      </c>
      <c r="D51" s="319"/>
      <c r="E51" s="231"/>
      <c r="F51" s="231"/>
      <c r="G51" s="231"/>
      <c r="H51" s="231"/>
      <c r="I51" s="231"/>
      <c r="J51" s="221"/>
    </row>
    <row r="52" spans="1:10">
      <c r="A52" s="221" t="s">
        <v>60</v>
      </c>
      <c r="B52" s="223" t="s">
        <v>76</v>
      </c>
      <c r="C52" s="224">
        <f>+C53+C57</f>
        <v>940017400</v>
      </c>
      <c r="D52" s="319"/>
      <c r="E52" s="222"/>
      <c r="F52" s="222"/>
      <c r="G52" s="222"/>
      <c r="H52" s="222"/>
      <c r="I52" s="222"/>
      <c r="J52" s="225"/>
    </row>
    <row r="53" spans="1:10">
      <c r="A53" s="221" t="s">
        <v>78</v>
      </c>
      <c r="B53" s="223" t="s">
        <v>58</v>
      </c>
      <c r="C53" s="224">
        <f>SUM(C54:C56)</f>
        <v>38606400</v>
      </c>
      <c r="D53" s="319"/>
      <c r="E53" s="222"/>
      <c r="F53" s="222"/>
      <c r="G53" s="222"/>
      <c r="H53" s="222"/>
      <c r="I53" s="222"/>
      <c r="J53" s="225"/>
    </row>
    <row r="54" spans="1:10">
      <c r="A54" s="226" t="s">
        <v>77</v>
      </c>
      <c r="B54" s="227" t="s">
        <v>158</v>
      </c>
      <c r="C54" s="228">
        <v>20768000</v>
      </c>
      <c r="D54" s="319"/>
      <c r="E54" s="231"/>
      <c r="F54" s="231"/>
      <c r="G54" s="231"/>
      <c r="H54" s="231"/>
      <c r="I54" s="231"/>
      <c r="J54" s="328"/>
    </row>
    <row r="55" spans="1:10">
      <c r="A55" s="226" t="s">
        <v>77</v>
      </c>
      <c r="B55" s="227" t="s">
        <v>377</v>
      </c>
      <c r="C55" s="264">
        <f>20846000*0.4</f>
        <v>8338400</v>
      </c>
      <c r="D55" s="319"/>
      <c r="E55" s="229"/>
      <c r="F55" s="222"/>
      <c r="G55" s="230"/>
      <c r="H55" s="229"/>
      <c r="I55" s="230"/>
      <c r="J55" s="328"/>
    </row>
    <row r="56" spans="1:10">
      <c r="A56" s="226" t="s">
        <v>77</v>
      </c>
      <c r="B56" s="227" t="s">
        <v>63</v>
      </c>
      <c r="C56" s="228">
        <v>9500000</v>
      </c>
      <c r="D56" s="319"/>
      <c r="E56" s="231"/>
      <c r="F56" s="231"/>
      <c r="G56" s="231"/>
      <c r="H56" s="231"/>
      <c r="I56" s="231"/>
      <c r="J56" s="328"/>
    </row>
    <row r="57" spans="1:10">
      <c r="A57" s="221" t="s">
        <v>81</v>
      </c>
      <c r="B57" s="223" t="s">
        <v>59</v>
      </c>
      <c r="C57" s="224">
        <f>ROUND(SUM(C58:C63),-3)</f>
        <v>901411000</v>
      </c>
      <c r="D57" s="319"/>
      <c r="E57" s="222"/>
      <c r="F57" s="222"/>
      <c r="G57" s="222"/>
      <c r="H57" s="222"/>
      <c r="I57" s="222"/>
      <c r="J57" s="225"/>
    </row>
    <row r="58" spans="1:10" ht="31.5">
      <c r="A58" s="237" t="s">
        <v>77</v>
      </c>
      <c r="B58" s="238" t="s">
        <v>371</v>
      </c>
      <c r="C58" s="239">
        <f>1348208+1647810</f>
        <v>2996018</v>
      </c>
      <c r="D58" s="319"/>
      <c r="E58" s="240" t="s">
        <v>13</v>
      </c>
      <c r="F58" s="241"/>
      <c r="G58" s="241" t="s">
        <v>380</v>
      </c>
      <c r="H58" s="240" t="s">
        <v>16</v>
      </c>
      <c r="I58" s="241" t="s">
        <v>45</v>
      </c>
      <c r="J58" s="242"/>
    </row>
    <row r="59" spans="1:10" ht="30">
      <c r="A59" s="237" t="s">
        <v>77</v>
      </c>
      <c r="B59" s="238" t="s">
        <v>369</v>
      </c>
      <c r="C59" s="239">
        <v>2000000</v>
      </c>
      <c r="D59" s="319"/>
      <c r="E59" s="240" t="s">
        <v>13</v>
      </c>
      <c r="F59" s="241"/>
      <c r="G59" s="241" t="s">
        <v>380</v>
      </c>
      <c r="H59" s="240" t="s">
        <v>16</v>
      </c>
      <c r="I59" s="241" t="s">
        <v>17</v>
      </c>
      <c r="J59" s="242"/>
    </row>
    <row r="60" spans="1:10" ht="30">
      <c r="A60" s="226" t="s">
        <v>77</v>
      </c>
      <c r="B60" s="227" t="s">
        <v>376</v>
      </c>
      <c r="C60" s="264">
        <f>20846000*0.6</f>
        <v>12507600</v>
      </c>
      <c r="D60" s="319"/>
      <c r="E60" s="229" t="s">
        <v>13</v>
      </c>
      <c r="F60" s="222"/>
      <c r="G60" s="230" t="s">
        <v>380</v>
      </c>
      <c r="H60" s="229" t="s">
        <v>16</v>
      </c>
      <c r="I60" s="230" t="s">
        <v>46</v>
      </c>
      <c r="J60" s="225"/>
    </row>
    <row r="61" spans="1:10" ht="38.25">
      <c r="A61" s="226" t="s">
        <v>77</v>
      </c>
      <c r="B61" s="227" t="s">
        <v>370</v>
      </c>
      <c r="C61" s="228">
        <f>829922000+30199000</f>
        <v>860121000</v>
      </c>
      <c r="D61" s="319"/>
      <c r="E61" s="229" t="s">
        <v>13</v>
      </c>
      <c r="F61" s="230"/>
      <c r="G61" s="230" t="s">
        <v>380</v>
      </c>
      <c r="H61" s="229" t="s">
        <v>16</v>
      </c>
      <c r="I61" s="230" t="s">
        <v>130</v>
      </c>
      <c r="J61" s="245" t="s">
        <v>325</v>
      </c>
    </row>
    <row r="62" spans="1:10" ht="30">
      <c r="A62" s="226" t="s">
        <v>77</v>
      </c>
      <c r="B62" s="227" t="s">
        <v>50</v>
      </c>
      <c r="C62" s="228">
        <v>21296000</v>
      </c>
      <c r="D62" s="319"/>
      <c r="E62" s="229" t="s">
        <v>13</v>
      </c>
      <c r="F62" s="229"/>
      <c r="G62" s="230" t="s">
        <v>380</v>
      </c>
      <c r="H62" s="229" t="s">
        <v>16</v>
      </c>
      <c r="I62" s="230" t="s">
        <v>48</v>
      </c>
      <c r="J62" s="236"/>
    </row>
    <row r="63" spans="1:10" ht="30">
      <c r="A63" s="226" t="s">
        <v>77</v>
      </c>
      <c r="B63" s="227" t="s">
        <v>51</v>
      </c>
      <c r="C63" s="228">
        <v>2490000</v>
      </c>
      <c r="D63" s="327"/>
      <c r="E63" s="229" t="s">
        <v>13</v>
      </c>
      <c r="F63" s="229"/>
      <c r="G63" s="230" t="s">
        <v>380</v>
      </c>
      <c r="H63" s="229" t="s">
        <v>16</v>
      </c>
      <c r="I63" s="230" t="s">
        <v>46</v>
      </c>
      <c r="J63" s="225"/>
    </row>
    <row r="64" spans="1:10">
      <c r="A64" s="221"/>
      <c r="B64" s="223" t="s">
        <v>64</v>
      </c>
      <c r="C64" s="224">
        <f>ROUND((C48+C52),-3)</f>
        <v>1000000000</v>
      </c>
      <c r="D64" s="222"/>
      <c r="E64" s="222"/>
      <c r="F64" s="222"/>
      <c r="G64" s="222"/>
      <c r="H64" s="222"/>
      <c r="I64" s="222"/>
      <c r="J64" s="225"/>
    </row>
  </sheetData>
  <mergeCells count="10">
    <mergeCell ref="H46:I46"/>
    <mergeCell ref="D49:D63"/>
    <mergeCell ref="J54:J56"/>
    <mergeCell ref="A45:J45"/>
    <mergeCell ref="A1:I1"/>
    <mergeCell ref="A2:I2"/>
    <mergeCell ref="H3:I3"/>
    <mergeCell ref="D6:D20"/>
    <mergeCell ref="J11:J13"/>
    <mergeCell ref="A44:I44"/>
  </mergeCells>
  <phoneticPr fontId="4" type="noConversion"/>
  <pageMargins left="0.4" right="0.22" top="0.51" bottom="0.4"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46" workbookViewId="0">
      <selection activeCell="E45" sqref="E45"/>
    </sheetView>
  </sheetViews>
  <sheetFormatPr defaultColWidth="9" defaultRowHeight="15.75"/>
  <cols>
    <col min="1" max="1" width="4.109375" style="220" customWidth="1"/>
    <col min="2" max="2" width="40.4414062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2.10937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378</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77399000</v>
      </c>
      <c r="D5" s="221"/>
      <c r="E5" s="222"/>
      <c r="F5" s="222"/>
      <c r="G5" s="222"/>
      <c r="H5" s="222"/>
      <c r="I5" s="222"/>
      <c r="J5" s="225"/>
    </row>
    <row r="6" spans="1:10" ht="31.5">
      <c r="A6" s="226" t="s">
        <v>77</v>
      </c>
      <c r="B6" s="227" t="s">
        <v>379</v>
      </c>
      <c r="C6" s="228">
        <f>18686000+10311000+43271000</f>
        <v>72268000</v>
      </c>
      <c r="D6" s="326" t="s">
        <v>373</v>
      </c>
      <c r="E6" s="229" t="s">
        <v>13</v>
      </c>
      <c r="F6" s="222"/>
      <c r="G6" s="230"/>
      <c r="H6" s="229" t="s">
        <v>16</v>
      </c>
      <c r="I6" s="230" t="s">
        <v>66</v>
      </c>
      <c r="J6" s="225"/>
    </row>
    <row r="7" spans="1:10">
      <c r="A7" s="226" t="s">
        <v>77</v>
      </c>
      <c r="B7" s="227" t="s">
        <v>80</v>
      </c>
      <c r="C7" s="228">
        <v>3231000</v>
      </c>
      <c r="D7" s="319"/>
      <c r="E7" s="229" t="s">
        <v>13</v>
      </c>
      <c r="F7" s="231"/>
      <c r="G7" s="231"/>
      <c r="H7" s="229" t="s">
        <v>16</v>
      </c>
      <c r="I7" s="230" t="s">
        <v>45</v>
      </c>
      <c r="J7" s="221"/>
    </row>
    <row r="8" spans="1:10" s="244" customFormat="1">
      <c r="A8" s="237" t="s">
        <v>77</v>
      </c>
      <c r="B8" s="238" t="s">
        <v>61</v>
      </c>
      <c r="C8" s="239">
        <v>1900000</v>
      </c>
      <c r="D8" s="319"/>
      <c r="E8" s="262"/>
      <c r="F8" s="262"/>
      <c r="G8" s="262"/>
      <c r="H8" s="262"/>
      <c r="I8" s="262"/>
      <c r="J8" s="263"/>
    </row>
    <row r="9" spans="1:10">
      <c r="A9" s="221" t="s">
        <v>60</v>
      </c>
      <c r="B9" s="223" t="s">
        <v>76</v>
      </c>
      <c r="C9" s="224">
        <f>+C10+C14</f>
        <v>922601400</v>
      </c>
      <c r="D9" s="319"/>
      <c r="E9" s="222"/>
      <c r="F9" s="222"/>
      <c r="G9" s="222"/>
      <c r="H9" s="222"/>
      <c r="I9" s="222"/>
      <c r="J9" s="225"/>
    </row>
    <row r="10" spans="1:10">
      <c r="A10" s="221" t="s">
        <v>78</v>
      </c>
      <c r="B10" s="223" t="s">
        <v>58</v>
      </c>
      <c r="C10" s="224">
        <f>SUM(C11:C13)</f>
        <v>32646400</v>
      </c>
      <c r="D10" s="319"/>
      <c r="E10" s="222"/>
      <c r="F10" s="222"/>
      <c r="G10" s="222"/>
      <c r="H10" s="222"/>
      <c r="I10" s="222"/>
      <c r="J10" s="225"/>
    </row>
    <row r="11" spans="1:10">
      <c r="A11" s="226" t="s">
        <v>77</v>
      </c>
      <c r="B11" s="227" t="s">
        <v>158</v>
      </c>
      <c r="C11" s="228">
        <v>14424000</v>
      </c>
      <c r="D11" s="319"/>
      <c r="E11" s="231"/>
      <c r="F11" s="231"/>
      <c r="G11" s="231"/>
      <c r="H11" s="231"/>
      <c r="I11" s="231"/>
      <c r="J11" s="328"/>
    </row>
    <row r="12" spans="1:10" s="244" customFormat="1">
      <c r="A12" s="237" t="s">
        <v>77</v>
      </c>
      <c r="B12" s="238" t="s">
        <v>377</v>
      </c>
      <c r="C12" s="264">
        <f>21806000*0.4</f>
        <v>8722400</v>
      </c>
      <c r="D12" s="319"/>
      <c r="E12" s="240"/>
      <c r="F12" s="265"/>
      <c r="G12" s="241"/>
      <c r="H12" s="240"/>
      <c r="I12" s="241"/>
      <c r="J12" s="328"/>
    </row>
    <row r="13" spans="1:10" ht="15" customHeight="1">
      <c r="A13" s="226" t="s">
        <v>77</v>
      </c>
      <c r="B13" s="227" t="s">
        <v>63</v>
      </c>
      <c r="C13" s="228">
        <v>9500000</v>
      </c>
      <c r="D13" s="319"/>
      <c r="E13" s="231"/>
      <c r="F13" s="231"/>
      <c r="G13" s="231"/>
      <c r="H13" s="231"/>
      <c r="I13" s="231"/>
      <c r="J13" s="328"/>
    </row>
    <row r="14" spans="1:10">
      <c r="A14" s="221" t="s">
        <v>81</v>
      </c>
      <c r="B14" s="223" t="s">
        <v>59</v>
      </c>
      <c r="C14" s="224">
        <f>ROUND(SUM(C15:C20),-3)</f>
        <v>889955000</v>
      </c>
      <c r="D14" s="319"/>
      <c r="E14" s="222"/>
      <c r="F14" s="222"/>
      <c r="G14" s="222"/>
      <c r="H14" s="222"/>
      <c r="I14" s="222"/>
      <c r="J14" s="225"/>
    </row>
    <row r="15" spans="1:10" ht="31.5">
      <c r="A15" s="226" t="s">
        <v>77</v>
      </c>
      <c r="B15" s="227" t="s">
        <v>371</v>
      </c>
      <c r="C15" s="228">
        <f>1272000+1555000</f>
        <v>2827000</v>
      </c>
      <c r="D15" s="319"/>
      <c r="E15" s="229" t="s">
        <v>13</v>
      </c>
      <c r="F15" s="230"/>
      <c r="G15" s="230" t="s">
        <v>380</v>
      </c>
      <c r="H15" s="229" t="s">
        <v>16</v>
      </c>
      <c r="I15" s="230" t="s">
        <v>45</v>
      </c>
      <c r="J15" s="245"/>
    </row>
    <row r="16" spans="1:10" ht="30">
      <c r="A16" s="226" t="s">
        <v>77</v>
      </c>
      <c r="B16" s="227" t="s">
        <v>369</v>
      </c>
      <c r="C16" s="228">
        <v>2000000</v>
      </c>
      <c r="D16" s="319"/>
      <c r="E16" s="229" t="s">
        <v>13</v>
      </c>
      <c r="F16" s="230"/>
      <c r="G16" s="230" t="s">
        <v>380</v>
      </c>
      <c r="H16" s="229" t="s">
        <v>16</v>
      </c>
      <c r="I16" s="230" t="s">
        <v>17</v>
      </c>
      <c r="J16" s="245"/>
    </row>
    <row r="17" spans="1:10" s="244" customFormat="1" ht="30">
      <c r="A17" s="237" t="s">
        <v>77</v>
      </c>
      <c r="B17" s="238" t="s">
        <v>376</v>
      </c>
      <c r="C17" s="264">
        <f>21806000*0.6</f>
        <v>13083600</v>
      </c>
      <c r="D17" s="319"/>
      <c r="E17" s="240" t="s">
        <v>13</v>
      </c>
      <c r="F17" s="265"/>
      <c r="G17" s="241" t="s">
        <v>380</v>
      </c>
      <c r="H17" s="240" t="s">
        <v>16</v>
      </c>
      <c r="I17" s="241" t="s">
        <v>46</v>
      </c>
      <c r="J17" s="266"/>
    </row>
    <row r="18" spans="1:10" ht="38.25">
      <c r="A18" s="226" t="s">
        <v>77</v>
      </c>
      <c r="B18" s="227" t="s">
        <v>370</v>
      </c>
      <c r="C18" s="228">
        <f>816985000+26440000</f>
        <v>843425000</v>
      </c>
      <c r="D18" s="319"/>
      <c r="E18" s="229" t="s">
        <v>13</v>
      </c>
      <c r="F18" s="230"/>
      <c r="G18" s="230" t="s">
        <v>380</v>
      </c>
      <c r="H18" s="229" t="s">
        <v>16</v>
      </c>
      <c r="I18" s="230" t="s">
        <v>225</v>
      </c>
      <c r="J18" s="245" t="s">
        <v>325</v>
      </c>
    </row>
    <row r="19" spans="1:10" ht="30">
      <c r="A19" s="226" t="s">
        <v>77</v>
      </c>
      <c r="B19" s="227" t="s">
        <v>50</v>
      </c>
      <c r="C19" s="228">
        <v>26168000</v>
      </c>
      <c r="D19" s="319"/>
      <c r="E19" s="229" t="s">
        <v>13</v>
      </c>
      <c r="F19" s="229"/>
      <c r="G19" s="230" t="s">
        <v>380</v>
      </c>
      <c r="H19" s="229" t="s">
        <v>16</v>
      </c>
      <c r="I19" s="230" t="s">
        <v>48</v>
      </c>
      <c r="J19" s="236"/>
    </row>
    <row r="20" spans="1:10" ht="30">
      <c r="A20" s="226" t="s">
        <v>77</v>
      </c>
      <c r="B20" s="227" t="s">
        <v>51</v>
      </c>
      <c r="C20" s="228">
        <v>2451000</v>
      </c>
      <c r="D20" s="327"/>
      <c r="E20" s="229" t="s">
        <v>13</v>
      </c>
      <c r="F20" s="229"/>
      <c r="G20" s="230" t="s">
        <v>380</v>
      </c>
      <c r="H20" s="229" t="s">
        <v>16</v>
      </c>
      <c r="I20" s="230" t="s">
        <v>46</v>
      </c>
      <c r="J20" s="225"/>
    </row>
    <row r="21" spans="1:10">
      <c r="A21" s="221"/>
      <c r="B21" s="223" t="s">
        <v>64</v>
      </c>
      <c r="C21" s="224">
        <f>ROUND((C5+C9),-3)</f>
        <v>1000000000</v>
      </c>
      <c r="D21" s="222"/>
      <c r="E21" s="222"/>
      <c r="F21" s="222"/>
      <c r="G21" s="222"/>
      <c r="H21" s="222"/>
      <c r="I21" s="222"/>
      <c r="J21" s="225"/>
    </row>
    <row r="22" spans="1:10" ht="24" customHeight="1"/>
    <row r="23" spans="1:10" ht="24" customHeight="1"/>
    <row r="24" spans="1:10" ht="24" customHeight="1"/>
    <row r="25" spans="1:10" ht="24" customHeight="1"/>
    <row r="26" spans="1:10" ht="24" customHeight="1"/>
    <row r="27" spans="1:10" ht="24" customHeight="1"/>
    <row r="28" spans="1:10" ht="24" customHeight="1"/>
    <row r="29" spans="1:10" ht="24" customHeight="1"/>
    <row r="30" spans="1:10" ht="24" customHeight="1"/>
    <row r="31" spans="1:10" ht="24" customHeight="1"/>
    <row r="32" spans="1:10" ht="24" customHeight="1"/>
    <row r="33" spans="1:10" ht="24" customHeight="1"/>
    <row r="34" spans="1:10" ht="24" customHeight="1"/>
    <row r="35" spans="1:10" ht="24" customHeight="1"/>
    <row r="36" spans="1:10" ht="24" customHeight="1"/>
    <row r="37" spans="1:10" ht="24" customHeight="1"/>
    <row r="38" spans="1:10" ht="44.25" customHeight="1"/>
    <row r="39" spans="1:10" ht="98.25" customHeight="1"/>
    <row r="40" spans="1:10" ht="48" customHeight="1"/>
    <row r="41" spans="1:10" ht="2.25" customHeight="1"/>
    <row r="42" spans="1:10" ht="16.5">
      <c r="A42" s="316" t="s">
        <v>27</v>
      </c>
      <c r="B42" s="316"/>
      <c r="C42" s="316"/>
      <c r="D42" s="316"/>
      <c r="E42" s="316"/>
      <c r="F42" s="316"/>
      <c r="G42" s="316"/>
      <c r="H42" s="316"/>
      <c r="I42" s="316"/>
    </row>
    <row r="43" spans="1:10" ht="16.5">
      <c r="A43" s="317" t="s">
        <v>382</v>
      </c>
      <c r="B43" s="317"/>
      <c r="C43" s="317"/>
      <c r="D43" s="317"/>
      <c r="E43" s="317"/>
      <c r="F43" s="317"/>
      <c r="G43" s="317"/>
      <c r="H43" s="317"/>
      <c r="I43" s="317"/>
      <c r="J43" s="317"/>
    </row>
    <row r="44" spans="1:10" ht="24" customHeight="1">
      <c r="H44" s="318"/>
      <c r="I44" s="318"/>
    </row>
    <row r="45" spans="1:10" ht="63">
      <c r="A45" s="221" t="s">
        <v>21</v>
      </c>
      <c r="B45" s="221" t="s">
        <v>0</v>
      </c>
      <c r="C45" s="221" t="s">
        <v>83</v>
      </c>
      <c r="D45" s="221" t="s">
        <v>1</v>
      </c>
      <c r="E45" s="221" t="s">
        <v>2</v>
      </c>
      <c r="F45" s="221" t="s">
        <v>3</v>
      </c>
      <c r="G45" s="221" t="s">
        <v>4</v>
      </c>
      <c r="H45" s="221" t="s">
        <v>5</v>
      </c>
      <c r="I45" s="221" t="s">
        <v>6</v>
      </c>
      <c r="J45" s="221" t="s">
        <v>65</v>
      </c>
    </row>
    <row r="46" spans="1:10">
      <c r="A46" s="221" t="s">
        <v>57</v>
      </c>
      <c r="B46" s="223" t="s">
        <v>75</v>
      </c>
      <c r="C46" s="224">
        <f>SUM(C47:C49)</f>
        <v>77399000</v>
      </c>
      <c r="D46" s="221"/>
      <c r="E46" s="222"/>
      <c r="F46" s="222"/>
      <c r="G46" s="222"/>
      <c r="H46" s="222"/>
      <c r="I46" s="222"/>
      <c r="J46" s="225"/>
    </row>
    <row r="47" spans="1:10" ht="31.5" customHeight="1">
      <c r="A47" s="226" t="s">
        <v>77</v>
      </c>
      <c r="B47" s="227" t="s">
        <v>379</v>
      </c>
      <c r="C47" s="228">
        <f>18686000+10311000+43271000</f>
        <v>72268000</v>
      </c>
      <c r="D47" s="326" t="s">
        <v>373</v>
      </c>
      <c r="E47" s="229" t="s">
        <v>13</v>
      </c>
      <c r="F47" s="222"/>
      <c r="G47" s="230"/>
      <c r="H47" s="229" t="s">
        <v>16</v>
      </c>
      <c r="I47" s="230" t="s">
        <v>66</v>
      </c>
      <c r="J47" s="225"/>
    </row>
    <row r="48" spans="1:10">
      <c r="A48" s="226" t="s">
        <v>77</v>
      </c>
      <c r="B48" s="227" t="s">
        <v>80</v>
      </c>
      <c r="C48" s="228">
        <v>3231000</v>
      </c>
      <c r="D48" s="319"/>
      <c r="E48" s="229" t="s">
        <v>13</v>
      </c>
      <c r="F48" s="231"/>
      <c r="G48" s="231"/>
      <c r="H48" s="229" t="s">
        <v>16</v>
      </c>
      <c r="I48" s="230" t="s">
        <v>45</v>
      </c>
      <c r="J48" s="221"/>
    </row>
    <row r="49" spans="1:10">
      <c r="A49" s="237" t="s">
        <v>77</v>
      </c>
      <c r="B49" s="238" t="s">
        <v>61</v>
      </c>
      <c r="C49" s="239">
        <v>1900000</v>
      </c>
      <c r="D49" s="319"/>
      <c r="E49" s="262"/>
      <c r="F49" s="262"/>
      <c r="G49" s="262"/>
      <c r="H49" s="262"/>
      <c r="I49" s="262"/>
      <c r="J49" s="263"/>
    </row>
    <row r="50" spans="1:10">
      <c r="A50" s="221" t="s">
        <v>60</v>
      </c>
      <c r="B50" s="223" t="s">
        <v>76</v>
      </c>
      <c r="C50" s="224">
        <f>+C51+C55</f>
        <v>922601400</v>
      </c>
      <c r="D50" s="319"/>
      <c r="E50" s="222"/>
      <c r="F50" s="222"/>
      <c r="G50" s="222"/>
      <c r="H50" s="222"/>
      <c r="I50" s="222"/>
      <c r="J50" s="225"/>
    </row>
    <row r="51" spans="1:10">
      <c r="A51" s="221" t="s">
        <v>78</v>
      </c>
      <c r="B51" s="223" t="s">
        <v>58</v>
      </c>
      <c r="C51" s="224">
        <f>SUM(C52:C54)</f>
        <v>32646400</v>
      </c>
      <c r="D51" s="319"/>
      <c r="E51" s="222"/>
      <c r="F51" s="222"/>
      <c r="G51" s="222"/>
      <c r="H51" s="222"/>
      <c r="I51" s="222"/>
      <c r="J51" s="225"/>
    </row>
    <row r="52" spans="1:10">
      <c r="A52" s="226" t="s">
        <v>77</v>
      </c>
      <c r="B52" s="227" t="s">
        <v>158</v>
      </c>
      <c r="C52" s="228">
        <v>14424000</v>
      </c>
      <c r="D52" s="319"/>
      <c r="E52" s="231"/>
      <c r="F52" s="231"/>
      <c r="G52" s="231"/>
      <c r="H52" s="231"/>
      <c r="I52" s="231"/>
      <c r="J52" s="328"/>
    </row>
    <row r="53" spans="1:10">
      <c r="A53" s="237" t="s">
        <v>77</v>
      </c>
      <c r="B53" s="238" t="s">
        <v>377</v>
      </c>
      <c r="C53" s="264">
        <f>21806000*0.4</f>
        <v>8722400</v>
      </c>
      <c r="D53" s="319"/>
      <c r="E53" s="240"/>
      <c r="F53" s="265"/>
      <c r="G53" s="241"/>
      <c r="H53" s="240"/>
      <c r="I53" s="241"/>
      <c r="J53" s="328"/>
    </row>
    <row r="54" spans="1:10">
      <c r="A54" s="226" t="s">
        <v>77</v>
      </c>
      <c r="B54" s="227" t="s">
        <v>63</v>
      </c>
      <c r="C54" s="228">
        <v>9500000</v>
      </c>
      <c r="D54" s="319"/>
      <c r="E54" s="231"/>
      <c r="F54" s="231"/>
      <c r="G54" s="231"/>
      <c r="H54" s="231"/>
      <c r="I54" s="231"/>
      <c r="J54" s="328"/>
    </row>
    <row r="55" spans="1:10">
      <c r="A55" s="221" t="s">
        <v>81</v>
      </c>
      <c r="B55" s="223" t="s">
        <v>59</v>
      </c>
      <c r="C55" s="224">
        <f>ROUND(SUM(C56:C61),-3)</f>
        <v>889955000</v>
      </c>
      <c r="D55" s="319"/>
      <c r="E55" s="222"/>
      <c r="F55" s="222"/>
      <c r="G55" s="222"/>
      <c r="H55" s="222"/>
      <c r="I55" s="222"/>
      <c r="J55" s="225"/>
    </row>
    <row r="56" spans="1:10" ht="31.5">
      <c r="A56" s="226" t="s">
        <v>77</v>
      </c>
      <c r="B56" s="227" t="s">
        <v>371</v>
      </c>
      <c r="C56" s="228">
        <f>1272000+1555000</f>
        <v>2827000</v>
      </c>
      <c r="D56" s="319"/>
      <c r="E56" s="229" t="s">
        <v>13</v>
      </c>
      <c r="F56" s="230"/>
      <c r="G56" s="230" t="s">
        <v>380</v>
      </c>
      <c r="H56" s="229" t="s">
        <v>16</v>
      </c>
      <c r="I56" s="230" t="s">
        <v>45</v>
      </c>
      <c r="J56" s="245"/>
    </row>
    <row r="57" spans="1:10" ht="30">
      <c r="A57" s="226" t="s">
        <v>77</v>
      </c>
      <c r="B57" s="227" t="s">
        <v>369</v>
      </c>
      <c r="C57" s="228">
        <v>2000000</v>
      </c>
      <c r="D57" s="319"/>
      <c r="E57" s="229" t="s">
        <v>13</v>
      </c>
      <c r="F57" s="230"/>
      <c r="G57" s="230" t="s">
        <v>380</v>
      </c>
      <c r="H57" s="229" t="s">
        <v>16</v>
      </c>
      <c r="I57" s="230" t="s">
        <v>17</v>
      </c>
      <c r="J57" s="245"/>
    </row>
    <row r="58" spans="1:10" ht="30">
      <c r="A58" s="237" t="s">
        <v>77</v>
      </c>
      <c r="B58" s="238" t="s">
        <v>376</v>
      </c>
      <c r="C58" s="264">
        <f>21806000*0.6</f>
        <v>13083600</v>
      </c>
      <c r="D58" s="319"/>
      <c r="E58" s="240" t="s">
        <v>13</v>
      </c>
      <c r="F58" s="265"/>
      <c r="G58" s="241" t="s">
        <v>380</v>
      </c>
      <c r="H58" s="240" t="s">
        <v>16</v>
      </c>
      <c r="I58" s="241" t="s">
        <v>46</v>
      </c>
      <c r="J58" s="266"/>
    </row>
    <row r="59" spans="1:10" ht="38.25">
      <c r="A59" s="226" t="s">
        <v>77</v>
      </c>
      <c r="B59" s="227" t="s">
        <v>370</v>
      </c>
      <c r="C59" s="228">
        <f>816985000+26440000</f>
        <v>843425000</v>
      </c>
      <c r="D59" s="319"/>
      <c r="E59" s="229" t="s">
        <v>13</v>
      </c>
      <c r="F59" s="230"/>
      <c r="G59" s="230" t="s">
        <v>380</v>
      </c>
      <c r="H59" s="229" t="s">
        <v>16</v>
      </c>
      <c r="I59" s="230" t="s">
        <v>225</v>
      </c>
      <c r="J59" s="245" t="s">
        <v>325</v>
      </c>
    </row>
    <row r="60" spans="1:10" ht="30">
      <c r="A60" s="226" t="s">
        <v>77</v>
      </c>
      <c r="B60" s="227" t="s">
        <v>50</v>
      </c>
      <c r="C60" s="228">
        <v>26168000</v>
      </c>
      <c r="D60" s="319"/>
      <c r="E60" s="229" t="s">
        <v>13</v>
      </c>
      <c r="F60" s="229"/>
      <c r="G60" s="230" t="s">
        <v>380</v>
      </c>
      <c r="H60" s="229" t="s">
        <v>16</v>
      </c>
      <c r="I60" s="230" t="s">
        <v>48</v>
      </c>
      <c r="J60" s="236"/>
    </row>
    <row r="61" spans="1:10" ht="30">
      <c r="A61" s="226" t="s">
        <v>77</v>
      </c>
      <c r="B61" s="227" t="s">
        <v>51</v>
      </c>
      <c r="C61" s="228">
        <v>2451000</v>
      </c>
      <c r="D61" s="327"/>
      <c r="E61" s="229" t="s">
        <v>13</v>
      </c>
      <c r="F61" s="229"/>
      <c r="G61" s="230" t="s">
        <v>380</v>
      </c>
      <c r="H61" s="229" t="s">
        <v>16</v>
      </c>
      <c r="I61" s="230" t="s">
        <v>46</v>
      </c>
      <c r="J61" s="225"/>
    </row>
    <row r="62" spans="1:10">
      <c r="A62" s="221"/>
      <c r="B62" s="223" t="s">
        <v>64</v>
      </c>
      <c r="C62" s="224">
        <f>ROUND((C46+C50),-3)</f>
        <v>1000000000</v>
      </c>
      <c r="D62" s="222"/>
      <c r="E62" s="222"/>
      <c r="F62" s="222"/>
      <c r="G62" s="222"/>
      <c r="H62" s="222"/>
      <c r="I62" s="222"/>
      <c r="J62" s="225"/>
    </row>
  </sheetData>
  <mergeCells count="10">
    <mergeCell ref="H44:I44"/>
    <mergeCell ref="D47:D61"/>
    <mergeCell ref="J52:J54"/>
    <mergeCell ref="A43:J43"/>
    <mergeCell ref="A1:I1"/>
    <mergeCell ref="A2:I2"/>
    <mergeCell ref="H3:I3"/>
    <mergeCell ref="D6:D20"/>
    <mergeCell ref="J11:J13"/>
    <mergeCell ref="A42:I42"/>
  </mergeCells>
  <phoneticPr fontId="4" type="noConversion"/>
  <pageMargins left="0.47" right="0.2" top="0.55000000000000004" bottom="0.2" header="0.5" footer="0.3"/>
  <pageSetup paperSize="9"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2.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378</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250708685</v>
      </c>
      <c r="D5" s="221"/>
      <c r="E5" s="222"/>
      <c r="F5" s="222"/>
      <c r="G5" s="222"/>
      <c r="H5" s="222"/>
      <c r="I5" s="222"/>
      <c r="J5" s="225"/>
    </row>
    <row r="6" spans="1:10" ht="31.5">
      <c r="A6" s="226" t="s">
        <v>77</v>
      </c>
      <c r="B6" s="227" t="s">
        <v>379</v>
      </c>
      <c r="C6" s="228">
        <f>84019000+142541000+10863000</f>
        <v>237423000</v>
      </c>
      <c r="D6" s="326" t="s">
        <v>373</v>
      </c>
      <c r="E6" s="229" t="s">
        <v>13</v>
      </c>
      <c r="F6" s="222"/>
      <c r="G6" s="230"/>
      <c r="H6" s="229" t="s">
        <v>16</v>
      </c>
      <c r="I6" s="230" t="s">
        <v>66</v>
      </c>
      <c r="J6" s="225"/>
    </row>
    <row r="7" spans="1:10">
      <c r="A7" s="226" t="s">
        <v>77</v>
      </c>
      <c r="B7" s="227" t="s">
        <v>80</v>
      </c>
      <c r="C7" s="228">
        <f>6344554+6143131</f>
        <v>12487685</v>
      </c>
      <c r="D7" s="319"/>
      <c r="E7" s="229" t="s">
        <v>13</v>
      </c>
      <c r="F7" s="231"/>
      <c r="G7" s="231"/>
      <c r="H7" s="229" t="s">
        <v>16</v>
      </c>
      <c r="I7" s="230" t="s">
        <v>45</v>
      </c>
      <c r="J7" s="221"/>
    </row>
    <row r="8" spans="1:10">
      <c r="A8" s="226" t="s">
        <v>77</v>
      </c>
      <c r="B8" s="227" t="s">
        <v>61</v>
      </c>
      <c r="C8" s="228">
        <v>798000</v>
      </c>
      <c r="D8" s="319"/>
      <c r="E8" s="231"/>
      <c r="F8" s="231"/>
      <c r="G8" s="231"/>
      <c r="H8" s="231"/>
      <c r="I8" s="231"/>
      <c r="J8" s="221"/>
    </row>
    <row r="9" spans="1:10">
      <c r="A9" s="221" t="s">
        <v>60</v>
      </c>
      <c r="B9" s="223" t="s">
        <v>76</v>
      </c>
      <c r="C9" s="224">
        <f>+C10+C14</f>
        <v>3949291000</v>
      </c>
      <c r="D9" s="319"/>
      <c r="E9" s="222"/>
      <c r="F9" s="222"/>
      <c r="G9" s="222"/>
      <c r="H9" s="222"/>
      <c r="I9" s="222"/>
      <c r="J9" s="225"/>
    </row>
    <row r="10" spans="1:10" ht="31.5">
      <c r="A10" s="221" t="s">
        <v>78</v>
      </c>
      <c r="B10" s="223" t="s">
        <v>58</v>
      </c>
      <c r="C10" s="224">
        <f>SUM(C11:C13)</f>
        <v>125105000</v>
      </c>
      <c r="D10" s="319"/>
      <c r="E10" s="222"/>
      <c r="F10" s="222"/>
      <c r="G10" s="222"/>
      <c r="H10" s="222"/>
      <c r="I10" s="222"/>
      <c r="J10" s="225"/>
    </row>
    <row r="11" spans="1:10">
      <c r="A11" s="226" t="s">
        <v>77</v>
      </c>
      <c r="B11" s="227" t="s">
        <v>158</v>
      </c>
      <c r="C11" s="228">
        <v>25364000</v>
      </c>
      <c r="D11" s="319"/>
      <c r="E11" s="231"/>
      <c r="F11" s="231"/>
      <c r="G11" s="231"/>
      <c r="H11" s="231"/>
      <c r="I11" s="231"/>
      <c r="J11" s="328"/>
    </row>
    <row r="12" spans="1:10" s="244" customFormat="1">
      <c r="A12" s="237" t="s">
        <v>77</v>
      </c>
      <c r="B12" s="238" t="s">
        <v>383</v>
      </c>
      <c r="C12" s="264">
        <f>99735000*0.6</f>
        <v>59841000</v>
      </c>
      <c r="D12" s="319"/>
      <c r="E12" s="240"/>
      <c r="F12" s="265"/>
      <c r="G12" s="241"/>
      <c r="H12" s="240"/>
      <c r="I12" s="241"/>
      <c r="J12" s="328"/>
    </row>
    <row r="13" spans="1:10" s="244" customFormat="1" ht="15" customHeight="1">
      <c r="A13" s="237" t="s">
        <v>77</v>
      </c>
      <c r="B13" s="238" t="s">
        <v>63</v>
      </c>
      <c r="C13" s="239">
        <v>39900000</v>
      </c>
      <c r="D13" s="319"/>
      <c r="E13" s="262"/>
      <c r="F13" s="262"/>
      <c r="G13" s="262"/>
      <c r="H13" s="262"/>
      <c r="I13" s="262"/>
      <c r="J13" s="328"/>
    </row>
    <row r="14" spans="1:10">
      <c r="A14" s="221" t="s">
        <v>81</v>
      </c>
      <c r="B14" s="223" t="s">
        <v>59</v>
      </c>
      <c r="C14" s="224">
        <f>ROUND(SUM(C15:C20),-3)</f>
        <v>3824186000</v>
      </c>
      <c r="D14" s="319"/>
      <c r="E14" s="222"/>
      <c r="F14" s="222"/>
      <c r="G14" s="222"/>
      <c r="H14" s="222"/>
      <c r="I14" s="222"/>
      <c r="J14" s="225"/>
    </row>
    <row r="15" spans="1:10" ht="31.5">
      <c r="A15" s="226" t="s">
        <v>77</v>
      </c>
      <c r="B15" s="227" t="s">
        <v>371</v>
      </c>
      <c r="C15" s="228">
        <f>5549000+6783000</f>
        <v>12332000</v>
      </c>
      <c r="D15" s="319"/>
      <c r="E15" s="229" t="s">
        <v>13</v>
      </c>
      <c r="F15" s="230"/>
      <c r="G15" s="230" t="s">
        <v>374</v>
      </c>
      <c r="H15" s="229" t="s">
        <v>16</v>
      </c>
      <c r="I15" s="230" t="s">
        <v>45</v>
      </c>
      <c r="J15" s="245"/>
    </row>
    <row r="16" spans="1:10" ht="31.5">
      <c r="A16" s="226" t="s">
        <v>77</v>
      </c>
      <c r="B16" s="227" t="s">
        <v>369</v>
      </c>
      <c r="C16" s="228">
        <f>1765000+1765000</f>
        <v>3530000</v>
      </c>
      <c r="D16" s="319"/>
      <c r="E16" s="229" t="s">
        <v>13</v>
      </c>
      <c r="F16" s="230"/>
      <c r="G16" s="230" t="s">
        <v>374</v>
      </c>
      <c r="H16" s="229" t="s">
        <v>16</v>
      </c>
      <c r="I16" s="230" t="s">
        <v>17</v>
      </c>
      <c r="J16" s="245"/>
    </row>
    <row r="17" spans="1:10" ht="30">
      <c r="A17" s="226" t="s">
        <v>77</v>
      </c>
      <c r="B17" s="227" t="s">
        <v>387</v>
      </c>
      <c r="C17" s="233">
        <f>99735000*0.4</f>
        <v>39894000</v>
      </c>
      <c r="D17" s="319"/>
      <c r="E17" s="229" t="s">
        <v>13</v>
      </c>
      <c r="F17" s="222"/>
      <c r="G17" s="230" t="s">
        <v>374</v>
      </c>
      <c r="H17" s="229" t="s">
        <v>16</v>
      </c>
      <c r="I17" s="230" t="s">
        <v>46</v>
      </c>
      <c r="J17" s="225"/>
    </row>
    <row r="18" spans="1:10" ht="45">
      <c r="A18" s="226" t="s">
        <v>77</v>
      </c>
      <c r="B18" s="227" t="s">
        <v>370</v>
      </c>
      <c r="C18" s="228">
        <f>3416096000+113763000+138578000</f>
        <v>3668437000</v>
      </c>
      <c r="D18" s="319"/>
      <c r="E18" s="229" t="s">
        <v>389</v>
      </c>
      <c r="F18" s="230" t="s">
        <v>14</v>
      </c>
      <c r="G18" s="230" t="s">
        <v>374</v>
      </c>
      <c r="H18" s="229" t="s">
        <v>16</v>
      </c>
      <c r="I18" s="230" t="s">
        <v>47</v>
      </c>
      <c r="J18" s="245" t="s">
        <v>375</v>
      </c>
    </row>
    <row r="19" spans="1:10" ht="31.5">
      <c r="A19" s="226" t="s">
        <v>77</v>
      </c>
      <c r="B19" s="227" t="s">
        <v>372</v>
      </c>
      <c r="C19" s="228">
        <f>88750000+653000</f>
        <v>89403000</v>
      </c>
      <c r="D19" s="319"/>
      <c r="E19" s="229" t="s">
        <v>13</v>
      </c>
      <c r="F19" s="229"/>
      <c r="G19" s="230" t="s">
        <v>374</v>
      </c>
      <c r="H19" s="229" t="s">
        <v>16</v>
      </c>
      <c r="I19" s="230" t="s">
        <v>48</v>
      </c>
      <c r="J19" s="236"/>
    </row>
    <row r="20" spans="1:10" ht="30">
      <c r="A20" s="226" t="s">
        <v>77</v>
      </c>
      <c r="B20" s="227" t="s">
        <v>51</v>
      </c>
      <c r="C20" s="228">
        <v>10590000</v>
      </c>
      <c r="D20" s="327"/>
      <c r="E20" s="229" t="s">
        <v>13</v>
      </c>
      <c r="F20" s="229"/>
      <c r="G20" s="230" t="s">
        <v>374</v>
      </c>
      <c r="H20" s="229" t="s">
        <v>16</v>
      </c>
      <c r="I20" s="230" t="s">
        <v>46</v>
      </c>
      <c r="J20" s="225"/>
    </row>
    <row r="21" spans="1:10" ht="27" customHeight="1">
      <c r="A21" s="221"/>
      <c r="B21" s="223" t="s">
        <v>64</v>
      </c>
      <c r="C21" s="224">
        <f>ROUND((C5+C9),-3)</f>
        <v>4200000000</v>
      </c>
      <c r="D21" s="222"/>
      <c r="E21" s="222"/>
      <c r="F21" s="222"/>
      <c r="G21" s="222"/>
      <c r="H21" s="222"/>
      <c r="I21" s="222"/>
      <c r="J21" s="225"/>
    </row>
    <row r="22" spans="1:10" ht="31.5" customHeight="1">
      <c r="A22" s="316" t="s">
        <v>27</v>
      </c>
      <c r="B22" s="316"/>
      <c r="C22" s="316"/>
      <c r="D22" s="316"/>
      <c r="E22" s="316"/>
      <c r="F22" s="316"/>
      <c r="G22" s="316"/>
      <c r="H22" s="316"/>
      <c r="I22" s="316"/>
    </row>
    <row r="23" spans="1:10" ht="16.5">
      <c r="A23" s="317" t="s">
        <v>388</v>
      </c>
      <c r="B23" s="317"/>
      <c r="C23" s="317"/>
      <c r="D23" s="317"/>
      <c r="E23" s="317"/>
      <c r="F23" s="317"/>
      <c r="G23" s="317"/>
      <c r="H23" s="317"/>
      <c r="I23" s="317"/>
    </row>
    <row r="24" spans="1:10">
      <c r="H24" s="318"/>
      <c r="I24" s="318"/>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250708685</v>
      </c>
      <c r="D26" s="221"/>
      <c r="E26" s="222"/>
      <c r="F26" s="222"/>
      <c r="G26" s="222"/>
      <c r="H26" s="222"/>
      <c r="I26" s="222"/>
      <c r="J26" s="225"/>
    </row>
    <row r="27" spans="1:10" ht="31.5" customHeight="1">
      <c r="A27" s="226" t="s">
        <v>77</v>
      </c>
      <c r="B27" s="227" t="s">
        <v>379</v>
      </c>
      <c r="C27" s="228">
        <f>84019000+142541000+10863000</f>
        <v>237423000</v>
      </c>
      <c r="D27" s="326" t="s">
        <v>373</v>
      </c>
      <c r="E27" s="229" t="s">
        <v>13</v>
      </c>
      <c r="F27" s="222"/>
      <c r="G27" s="230"/>
      <c r="H27" s="229" t="s">
        <v>16</v>
      </c>
      <c r="I27" s="230" t="s">
        <v>66</v>
      </c>
      <c r="J27" s="225"/>
    </row>
    <row r="28" spans="1:10" ht="31.5">
      <c r="A28" s="226" t="s">
        <v>77</v>
      </c>
      <c r="B28" s="227" t="s">
        <v>80</v>
      </c>
      <c r="C28" s="228">
        <f>6344554+6143131</f>
        <v>12487685</v>
      </c>
      <c r="D28" s="319"/>
      <c r="E28" s="229" t="s">
        <v>13</v>
      </c>
      <c r="F28" s="231"/>
      <c r="G28" s="231"/>
      <c r="H28" s="229" t="s">
        <v>16</v>
      </c>
      <c r="I28" s="230" t="s">
        <v>45</v>
      </c>
      <c r="J28" s="221"/>
    </row>
    <row r="29" spans="1:10">
      <c r="A29" s="226" t="s">
        <v>77</v>
      </c>
      <c r="B29" s="227" t="s">
        <v>61</v>
      </c>
      <c r="C29" s="228">
        <v>798000</v>
      </c>
      <c r="D29" s="319"/>
      <c r="E29" s="231"/>
      <c r="F29" s="231"/>
      <c r="G29" s="231"/>
      <c r="H29" s="231"/>
      <c r="I29" s="231"/>
      <c r="J29" s="221"/>
    </row>
    <row r="30" spans="1:10">
      <c r="A30" s="221" t="s">
        <v>60</v>
      </c>
      <c r="B30" s="223" t="s">
        <v>76</v>
      </c>
      <c r="C30" s="224">
        <f>+C31+C35</f>
        <v>3949291000</v>
      </c>
      <c r="D30" s="319"/>
      <c r="E30" s="222"/>
      <c r="F30" s="222"/>
      <c r="G30" s="222"/>
      <c r="H30" s="222"/>
      <c r="I30" s="222"/>
      <c r="J30" s="225"/>
    </row>
    <row r="31" spans="1:10" ht="31.5">
      <c r="A31" s="221" t="s">
        <v>78</v>
      </c>
      <c r="B31" s="223" t="s">
        <v>58</v>
      </c>
      <c r="C31" s="224">
        <f>SUM(C32:C34)</f>
        <v>125105000</v>
      </c>
      <c r="D31" s="319"/>
      <c r="E31" s="222"/>
      <c r="F31" s="222"/>
      <c r="G31" s="222"/>
      <c r="H31" s="222"/>
      <c r="I31" s="222"/>
      <c r="J31" s="225"/>
    </row>
    <row r="32" spans="1:10">
      <c r="A32" s="226" t="s">
        <v>77</v>
      </c>
      <c r="B32" s="227" t="s">
        <v>158</v>
      </c>
      <c r="C32" s="228">
        <v>25364000</v>
      </c>
      <c r="D32" s="319"/>
      <c r="E32" s="231"/>
      <c r="F32" s="231"/>
      <c r="G32" s="231"/>
      <c r="H32" s="231"/>
      <c r="I32" s="231"/>
      <c r="J32" s="328"/>
    </row>
    <row r="33" spans="1:10">
      <c r="A33" s="237" t="s">
        <v>77</v>
      </c>
      <c r="B33" s="238" t="s">
        <v>383</v>
      </c>
      <c r="C33" s="264">
        <f>99735000*0.6</f>
        <v>59841000</v>
      </c>
      <c r="D33" s="319"/>
      <c r="E33" s="240"/>
      <c r="F33" s="265"/>
      <c r="G33" s="241"/>
      <c r="H33" s="240"/>
      <c r="I33" s="241"/>
      <c r="J33" s="328"/>
    </row>
    <row r="34" spans="1:10">
      <c r="A34" s="237" t="s">
        <v>77</v>
      </c>
      <c r="B34" s="238" t="s">
        <v>63</v>
      </c>
      <c r="C34" s="239">
        <v>39900000</v>
      </c>
      <c r="D34" s="319"/>
      <c r="E34" s="262"/>
      <c r="F34" s="262"/>
      <c r="G34" s="262"/>
      <c r="H34" s="262"/>
      <c r="I34" s="262"/>
      <c r="J34" s="328"/>
    </row>
    <row r="35" spans="1:10">
      <c r="A35" s="221" t="s">
        <v>81</v>
      </c>
      <c r="B35" s="223" t="s">
        <v>59</v>
      </c>
      <c r="C35" s="224">
        <f>ROUND(SUM(C36:C41),-3)</f>
        <v>3824186000</v>
      </c>
      <c r="D35" s="319"/>
      <c r="E35" s="222"/>
      <c r="F35" s="222"/>
      <c r="G35" s="222"/>
      <c r="H35" s="222"/>
      <c r="I35" s="222"/>
      <c r="J35" s="225"/>
    </row>
    <row r="36" spans="1:10" ht="31.5">
      <c r="A36" s="226" t="s">
        <v>77</v>
      </c>
      <c r="B36" s="227" t="s">
        <v>371</v>
      </c>
      <c r="C36" s="228">
        <f>5549000+6783000</f>
        <v>12332000</v>
      </c>
      <c r="D36" s="319"/>
      <c r="E36" s="229" t="s">
        <v>13</v>
      </c>
      <c r="F36" s="230"/>
      <c r="G36" s="230" t="s">
        <v>374</v>
      </c>
      <c r="H36" s="229" t="s">
        <v>16</v>
      </c>
      <c r="I36" s="230" t="s">
        <v>45</v>
      </c>
      <c r="J36" s="245"/>
    </row>
    <row r="37" spans="1:10" ht="31.5">
      <c r="A37" s="226" t="s">
        <v>77</v>
      </c>
      <c r="B37" s="227" t="s">
        <v>369</v>
      </c>
      <c r="C37" s="228">
        <f>1765000+1765000</f>
        <v>3530000</v>
      </c>
      <c r="D37" s="319"/>
      <c r="E37" s="229" t="s">
        <v>13</v>
      </c>
      <c r="F37" s="230"/>
      <c r="G37" s="230" t="s">
        <v>374</v>
      </c>
      <c r="H37" s="229" t="s">
        <v>16</v>
      </c>
      <c r="I37" s="230" t="s">
        <v>17</v>
      </c>
      <c r="J37" s="245"/>
    </row>
    <row r="38" spans="1:10" ht="30">
      <c r="A38" s="226" t="s">
        <v>77</v>
      </c>
      <c r="B38" s="227" t="s">
        <v>387</v>
      </c>
      <c r="C38" s="233">
        <f>99735000*0.4</f>
        <v>39894000</v>
      </c>
      <c r="D38" s="319"/>
      <c r="E38" s="229" t="s">
        <v>13</v>
      </c>
      <c r="F38" s="222"/>
      <c r="G38" s="230" t="s">
        <v>374</v>
      </c>
      <c r="H38" s="229" t="s">
        <v>16</v>
      </c>
      <c r="I38" s="230" t="s">
        <v>46</v>
      </c>
      <c r="J38" s="225"/>
    </row>
    <row r="39" spans="1:10" ht="45">
      <c r="A39" s="226" t="s">
        <v>77</v>
      </c>
      <c r="B39" s="227" t="s">
        <v>370</v>
      </c>
      <c r="C39" s="228">
        <f>3416096000+113763000+138578000</f>
        <v>3668437000</v>
      </c>
      <c r="D39" s="319"/>
      <c r="E39" s="229" t="s">
        <v>389</v>
      </c>
      <c r="F39" s="230" t="s">
        <v>14</v>
      </c>
      <c r="G39" s="230" t="s">
        <v>374</v>
      </c>
      <c r="H39" s="229" t="s">
        <v>16</v>
      </c>
      <c r="I39" s="230" t="s">
        <v>47</v>
      </c>
      <c r="J39" s="245" t="s">
        <v>375</v>
      </c>
    </row>
    <row r="40" spans="1:10" ht="31.5">
      <c r="A40" s="226" t="s">
        <v>77</v>
      </c>
      <c r="B40" s="227" t="s">
        <v>372</v>
      </c>
      <c r="C40" s="228">
        <f>88750000+653000</f>
        <v>89403000</v>
      </c>
      <c r="D40" s="319"/>
      <c r="E40" s="229" t="s">
        <v>13</v>
      </c>
      <c r="F40" s="229"/>
      <c r="G40" s="230" t="s">
        <v>374</v>
      </c>
      <c r="H40" s="229" t="s">
        <v>16</v>
      </c>
      <c r="I40" s="230" t="s">
        <v>48</v>
      </c>
      <c r="J40" s="236"/>
    </row>
    <row r="41" spans="1:10" ht="30">
      <c r="A41" s="226" t="s">
        <v>77</v>
      </c>
      <c r="B41" s="227" t="s">
        <v>51</v>
      </c>
      <c r="C41" s="228">
        <v>10590000</v>
      </c>
      <c r="D41" s="327"/>
      <c r="E41" s="229" t="s">
        <v>13</v>
      </c>
      <c r="F41" s="229"/>
      <c r="G41" s="230" t="s">
        <v>374</v>
      </c>
      <c r="H41" s="229" t="s">
        <v>16</v>
      </c>
      <c r="I41" s="230" t="s">
        <v>46</v>
      </c>
      <c r="J41" s="225"/>
    </row>
    <row r="42" spans="1:10">
      <c r="A42" s="221"/>
      <c r="B42" s="223" t="s">
        <v>64</v>
      </c>
      <c r="C42" s="224">
        <f>ROUND((C26+C30),-3)</f>
        <v>4200000000</v>
      </c>
      <c r="D42" s="222"/>
      <c r="E42" s="222"/>
      <c r="F42" s="222"/>
      <c r="G42" s="222"/>
      <c r="H42" s="222"/>
      <c r="I42" s="222"/>
      <c r="J42" s="225"/>
    </row>
  </sheetData>
  <mergeCells count="10">
    <mergeCell ref="A1:I1"/>
    <mergeCell ref="A2:I2"/>
    <mergeCell ref="H3:I3"/>
    <mergeCell ref="D6:D20"/>
    <mergeCell ref="D27:D41"/>
    <mergeCell ref="J32:J34"/>
    <mergeCell ref="J11:J13"/>
    <mergeCell ref="A22:I22"/>
    <mergeCell ref="A23:I23"/>
    <mergeCell ref="H24:I24"/>
  </mergeCells>
  <phoneticPr fontId="4" type="noConversion"/>
  <pageMargins left="0.45" right="0.23" top="0.5" bottom="0.17" header="0.46" footer="0.17"/>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0" workbookViewId="0">
      <selection activeCell="A10" sqref="A1:IV65536"/>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365</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SUM(C6:C9)</f>
        <v>14225000</v>
      </c>
      <c r="D5" s="10"/>
      <c r="E5" s="43"/>
      <c r="F5" s="43"/>
      <c r="G5" s="43"/>
      <c r="H5" s="43"/>
      <c r="I5" s="43"/>
      <c r="J5" s="29"/>
    </row>
    <row r="6" spans="1:10">
      <c r="A6" s="37" t="s">
        <v>77</v>
      </c>
      <c r="B6" s="31" t="s">
        <v>290</v>
      </c>
      <c r="C6" s="21">
        <v>12485000</v>
      </c>
      <c r="D6" s="333" t="s">
        <v>329</v>
      </c>
      <c r="E6" s="44" t="s">
        <v>13</v>
      </c>
      <c r="F6" s="43"/>
      <c r="G6" s="45"/>
      <c r="H6" s="44" t="s">
        <v>16</v>
      </c>
      <c r="I6" s="45" t="s">
        <v>17</v>
      </c>
      <c r="J6" s="32"/>
    </row>
    <row r="7" spans="1:10">
      <c r="A7" s="37" t="s">
        <v>77</v>
      </c>
      <c r="B7" s="20" t="s">
        <v>80</v>
      </c>
      <c r="C7" s="21">
        <v>1002000</v>
      </c>
      <c r="D7" s="334"/>
      <c r="E7" s="44" t="s">
        <v>13</v>
      </c>
      <c r="F7" s="46"/>
      <c r="G7" s="46"/>
      <c r="H7" s="44" t="s">
        <v>16</v>
      </c>
      <c r="I7" s="45" t="s">
        <v>17</v>
      </c>
      <c r="J7" s="10"/>
    </row>
    <row r="8" spans="1:10">
      <c r="A8" s="37" t="s">
        <v>77</v>
      </c>
      <c r="B8" s="20" t="s">
        <v>61</v>
      </c>
      <c r="C8" s="21">
        <v>48000</v>
      </c>
      <c r="D8" s="334"/>
      <c r="E8" s="46"/>
      <c r="F8" s="46"/>
      <c r="G8" s="46"/>
      <c r="H8" s="46"/>
      <c r="I8" s="46"/>
      <c r="J8" s="10"/>
    </row>
    <row r="9" spans="1:10">
      <c r="A9" s="37" t="s">
        <v>77</v>
      </c>
      <c r="B9" s="20" t="s">
        <v>366</v>
      </c>
      <c r="C9" s="21">
        <v>690000</v>
      </c>
      <c r="D9" s="334"/>
      <c r="E9" s="46"/>
      <c r="F9" s="46"/>
      <c r="G9" s="46"/>
      <c r="H9" s="46"/>
      <c r="I9" s="46"/>
      <c r="J9" s="10"/>
    </row>
    <row r="10" spans="1:10">
      <c r="A10" s="10" t="s">
        <v>60</v>
      </c>
      <c r="B10" s="26" t="s">
        <v>76</v>
      </c>
      <c r="C10" s="28">
        <f>+C11+C15</f>
        <v>238050000</v>
      </c>
      <c r="D10" s="334"/>
      <c r="E10" s="43"/>
      <c r="F10" s="43"/>
      <c r="G10" s="43"/>
      <c r="H10" s="43"/>
      <c r="I10" s="43"/>
      <c r="J10" s="29"/>
    </row>
    <row r="11" spans="1:10" ht="31.5">
      <c r="A11" s="10" t="s">
        <v>78</v>
      </c>
      <c r="B11" s="26" t="s">
        <v>58</v>
      </c>
      <c r="C11" s="28">
        <f>SUM(C12:C14)</f>
        <v>10280000</v>
      </c>
      <c r="D11" s="334"/>
      <c r="E11" s="43"/>
      <c r="F11" s="43"/>
      <c r="G11" s="43"/>
      <c r="H11" s="43"/>
      <c r="I11" s="43"/>
      <c r="J11" s="29"/>
    </row>
    <row r="12" spans="1:10">
      <c r="A12" s="38" t="s">
        <v>77</v>
      </c>
      <c r="B12" s="20" t="s">
        <v>142</v>
      </c>
      <c r="C12" s="217">
        <v>5407000</v>
      </c>
      <c r="D12" s="334"/>
      <c r="E12" s="43"/>
      <c r="F12" s="43"/>
      <c r="G12" s="43"/>
      <c r="H12" s="43"/>
      <c r="I12" s="43"/>
      <c r="J12" s="29"/>
    </row>
    <row r="13" spans="1:10">
      <c r="A13" s="38" t="s">
        <v>77</v>
      </c>
      <c r="B13" s="20" t="s">
        <v>158</v>
      </c>
      <c r="C13" s="21">
        <v>2498000</v>
      </c>
      <c r="D13" s="334"/>
      <c r="E13" s="46"/>
      <c r="F13" s="46"/>
      <c r="G13" s="46"/>
      <c r="H13" s="46"/>
      <c r="I13" s="46"/>
      <c r="J13" s="329"/>
    </row>
    <row r="14" spans="1:10">
      <c r="A14" s="38" t="s">
        <v>77</v>
      </c>
      <c r="B14" s="20" t="s">
        <v>63</v>
      </c>
      <c r="C14" s="21">
        <v>2375000</v>
      </c>
      <c r="D14" s="334"/>
      <c r="E14" s="46"/>
      <c r="F14" s="46"/>
      <c r="G14" s="46"/>
      <c r="H14" s="46"/>
      <c r="I14" s="46"/>
      <c r="J14" s="329"/>
    </row>
    <row r="15" spans="1:10">
      <c r="A15" s="10" t="s">
        <v>81</v>
      </c>
      <c r="B15" s="26" t="s">
        <v>59</v>
      </c>
      <c r="C15" s="28">
        <f>ROUND(SUM(C16:C18),-3)</f>
        <v>227770000</v>
      </c>
      <c r="D15" s="334"/>
      <c r="E15" s="43"/>
      <c r="F15" s="43"/>
      <c r="G15" s="43"/>
      <c r="H15" s="43"/>
      <c r="I15" s="43"/>
      <c r="J15" s="29"/>
    </row>
    <row r="16" spans="1:10" ht="45">
      <c r="A16" s="37" t="s">
        <v>77</v>
      </c>
      <c r="B16" s="31" t="s">
        <v>332</v>
      </c>
      <c r="C16" s="21">
        <f>215251000+6458000</f>
        <v>221709000</v>
      </c>
      <c r="D16" s="334"/>
      <c r="E16" s="44" t="s">
        <v>13</v>
      </c>
      <c r="F16" s="42" t="s">
        <v>14</v>
      </c>
      <c r="G16" s="45" t="s">
        <v>367</v>
      </c>
      <c r="H16" s="44" t="s">
        <v>16</v>
      </c>
      <c r="I16" s="116" t="s">
        <v>45</v>
      </c>
      <c r="J16" s="36" t="s">
        <v>325</v>
      </c>
    </row>
    <row r="17" spans="1:10" ht="31.5">
      <c r="A17" s="37" t="s">
        <v>77</v>
      </c>
      <c r="B17" s="20" t="s">
        <v>33</v>
      </c>
      <c r="C17" s="23">
        <v>5523000</v>
      </c>
      <c r="D17" s="334"/>
      <c r="E17" s="47" t="s">
        <v>13</v>
      </c>
      <c r="F17" s="47"/>
      <c r="G17" s="45" t="s">
        <v>367</v>
      </c>
      <c r="H17" s="47" t="s">
        <v>16</v>
      </c>
      <c r="I17" s="42" t="s">
        <v>156</v>
      </c>
      <c r="J17" s="30"/>
    </row>
    <row r="18" spans="1:10" ht="30">
      <c r="A18" s="37" t="s">
        <v>77</v>
      </c>
      <c r="B18" s="20" t="s">
        <v>34</v>
      </c>
      <c r="C18" s="23">
        <v>538000</v>
      </c>
      <c r="D18" s="335"/>
      <c r="E18" s="47" t="s">
        <v>13</v>
      </c>
      <c r="F18" s="47"/>
      <c r="G18" s="45" t="s">
        <v>367</v>
      </c>
      <c r="H18" s="47" t="s">
        <v>16</v>
      </c>
      <c r="I18" s="42" t="s">
        <v>46</v>
      </c>
      <c r="J18" s="29"/>
    </row>
    <row r="19" spans="1:10">
      <c r="A19" s="10"/>
      <c r="B19" s="26" t="s">
        <v>64</v>
      </c>
      <c r="C19" s="28">
        <f>ROUND((C5+C10),-3)</f>
        <v>252275000</v>
      </c>
      <c r="D19" s="43"/>
      <c r="E19" s="43"/>
      <c r="F19" s="43"/>
      <c r="G19" s="43"/>
      <c r="H19" s="43"/>
      <c r="I19" s="43"/>
      <c r="J19" s="29"/>
    </row>
    <row r="20" spans="1:10" ht="41.25" customHeight="1"/>
    <row r="22" spans="1:10" ht="33.75" customHeight="1"/>
    <row r="23" spans="1:10" ht="16.5">
      <c r="A23" s="330" t="s">
        <v>27</v>
      </c>
      <c r="B23" s="330"/>
      <c r="C23" s="330"/>
      <c r="D23" s="330"/>
      <c r="E23" s="330"/>
      <c r="F23" s="330"/>
      <c r="G23" s="330"/>
      <c r="H23" s="330"/>
      <c r="I23" s="330"/>
    </row>
    <row r="24" spans="1:10" ht="16.5">
      <c r="A24" s="331" t="s">
        <v>368</v>
      </c>
      <c r="B24" s="331"/>
      <c r="C24" s="331"/>
      <c r="D24" s="331"/>
      <c r="E24" s="331"/>
      <c r="F24" s="331"/>
      <c r="G24" s="331"/>
      <c r="H24" s="331"/>
      <c r="I24" s="331"/>
    </row>
    <row r="25" spans="1:10">
      <c r="H25" s="332"/>
      <c r="I25" s="332"/>
    </row>
    <row r="26" spans="1:10" ht="63">
      <c r="A26" s="10" t="s">
        <v>21</v>
      </c>
      <c r="B26" s="10" t="s">
        <v>0</v>
      </c>
      <c r="C26" s="10" t="s">
        <v>83</v>
      </c>
      <c r="D26" s="10" t="s">
        <v>1</v>
      </c>
      <c r="E26" s="10" t="s">
        <v>2</v>
      </c>
      <c r="F26" s="10" t="s">
        <v>3</v>
      </c>
      <c r="G26" s="10" t="s">
        <v>4</v>
      </c>
      <c r="H26" s="10" t="s">
        <v>5</v>
      </c>
      <c r="I26" s="10" t="s">
        <v>6</v>
      </c>
      <c r="J26" s="10" t="s">
        <v>65</v>
      </c>
    </row>
    <row r="27" spans="1:10">
      <c r="A27" s="10" t="s">
        <v>57</v>
      </c>
      <c r="B27" s="26" t="s">
        <v>75</v>
      </c>
      <c r="C27" s="28">
        <f>SUM(C28:C31)</f>
        <v>14225000</v>
      </c>
      <c r="D27" s="10"/>
      <c r="E27" s="43"/>
      <c r="F27" s="43"/>
      <c r="G27" s="43"/>
      <c r="H27" s="43"/>
      <c r="I27" s="43"/>
      <c r="J27" s="29"/>
    </row>
    <row r="28" spans="1:10" ht="31.5" customHeight="1">
      <c r="A28" s="37" t="s">
        <v>77</v>
      </c>
      <c r="B28" s="31" t="s">
        <v>290</v>
      </c>
      <c r="C28" s="21">
        <v>12485000</v>
      </c>
      <c r="D28" s="333" t="s">
        <v>329</v>
      </c>
      <c r="E28" s="44" t="s">
        <v>13</v>
      </c>
      <c r="F28" s="43"/>
      <c r="G28" s="45"/>
      <c r="H28" s="44" t="s">
        <v>16</v>
      </c>
      <c r="I28" s="45" t="s">
        <v>17</v>
      </c>
      <c r="J28" s="32"/>
    </row>
    <row r="29" spans="1:10">
      <c r="A29" s="37" t="s">
        <v>77</v>
      </c>
      <c r="B29" s="20" t="s">
        <v>80</v>
      </c>
      <c r="C29" s="21">
        <v>1002000</v>
      </c>
      <c r="D29" s="334"/>
      <c r="E29" s="44" t="s">
        <v>13</v>
      </c>
      <c r="F29" s="46"/>
      <c r="G29" s="46"/>
      <c r="H29" s="44" t="s">
        <v>16</v>
      </c>
      <c r="I29" s="45" t="s">
        <v>17</v>
      </c>
      <c r="J29" s="10"/>
    </row>
    <row r="30" spans="1:10">
      <c r="A30" s="37" t="s">
        <v>77</v>
      </c>
      <c r="B30" s="20" t="s">
        <v>61</v>
      </c>
      <c r="C30" s="21">
        <v>48000</v>
      </c>
      <c r="D30" s="334"/>
      <c r="E30" s="46"/>
      <c r="F30" s="46"/>
      <c r="G30" s="46"/>
      <c r="H30" s="46"/>
      <c r="I30" s="46"/>
      <c r="J30" s="10"/>
    </row>
    <row r="31" spans="1:10">
      <c r="A31" s="37" t="s">
        <v>77</v>
      </c>
      <c r="B31" s="20" t="s">
        <v>366</v>
      </c>
      <c r="C31" s="21">
        <v>690000</v>
      </c>
      <c r="D31" s="334"/>
      <c r="E31" s="46"/>
      <c r="F31" s="46"/>
      <c r="G31" s="46"/>
      <c r="H31" s="46"/>
      <c r="I31" s="46"/>
      <c r="J31" s="10"/>
    </row>
    <row r="32" spans="1:10">
      <c r="A32" s="10" t="s">
        <v>60</v>
      </c>
      <c r="B32" s="26" t="s">
        <v>76</v>
      </c>
      <c r="C32" s="28">
        <f>+C33+C37</f>
        <v>238050000</v>
      </c>
      <c r="D32" s="334"/>
      <c r="E32" s="43"/>
      <c r="F32" s="43"/>
      <c r="G32" s="43"/>
      <c r="H32" s="43"/>
      <c r="I32" s="43"/>
      <c r="J32" s="29"/>
    </row>
    <row r="33" spans="1:10" ht="31.5">
      <c r="A33" s="10" t="s">
        <v>78</v>
      </c>
      <c r="B33" s="26" t="s">
        <v>58</v>
      </c>
      <c r="C33" s="28">
        <f>SUM(C34:C36)</f>
        <v>10280000</v>
      </c>
      <c r="D33" s="334"/>
      <c r="E33" s="43"/>
      <c r="F33" s="43"/>
      <c r="G33" s="43"/>
      <c r="H33" s="43"/>
      <c r="I33" s="43"/>
      <c r="J33" s="29"/>
    </row>
    <row r="34" spans="1:10">
      <c r="A34" s="38" t="s">
        <v>77</v>
      </c>
      <c r="B34" s="20" t="s">
        <v>142</v>
      </c>
      <c r="C34" s="217">
        <v>5407000</v>
      </c>
      <c r="D34" s="334"/>
      <c r="E34" s="43"/>
      <c r="F34" s="43"/>
      <c r="G34" s="43"/>
      <c r="H34" s="43"/>
      <c r="I34" s="43"/>
      <c r="J34" s="29"/>
    </row>
    <row r="35" spans="1:10">
      <c r="A35" s="38" t="s">
        <v>77</v>
      </c>
      <c r="B35" s="20" t="s">
        <v>158</v>
      </c>
      <c r="C35" s="21">
        <v>2498000</v>
      </c>
      <c r="D35" s="334"/>
      <c r="E35" s="46"/>
      <c r="F35" s="46"/>
      <c r="G35" s="46"/>
      <c r="H35" s="46"/>
      <c r="I35" s="46"/>
      <c r="J35" s="329"/>
    </row>
    <row r="36" spans="1:10">
      <c r="A36" s="38" t="s">
        <v>77</v>
      </c>
      <c r="B36" s="20" t="s">
        <v>63</v>
      </c>
      <c r="C36" s="21">
        <v>2375000</v>
      </c>
      <c r="D36" s="334"/>
      <c r="E36" s="46"/>
      <c r="F36" s="46"/>
      <c r="G36" s="46"/>
      <c r="H36" s="46"/>
      <c r="I36" s="46"/>
      <c r="J36" s="329"/>
    </row>
    <row r="37" spans="1:10">
      <c r="A37" s="10" t="s">
        <v>81</v>
      </c>
      <c r="B37" s="26" t="s">
        <v>59</v>
      </c>
      <c r="C37" s="28">
        <f>ROUND(SUM(C38:C40),-3)</f>
        <v>227770000</v>
      </c>
      <c r="D37" s="334"/>
      <c r="E37" s="43"/>
      <c r="F37" s="43"/>
      <c r="G37" s="43"/>
      <c r="H37" s="43"/>
      <c r="I37" s="43"/>
      <c r="J37" s="29"/>
    </row>
    <row r="38" spans="1:10" ht="45">
      <c r="A38" s="37" t="s">
        <v>77</v>
      </c>
      <c r="B38" s="31" t="s">
        <v>332</v>
      </c>
      <c r="C38" s="21">
        <f>215251000+6458000</f>
        <v>221709000</v>
      </c>
      <c r="D38" s="334"/>
      <c r="E38" s="44" t="s">
        <v>13</v>
      </c>
      <c r="F38" s="42" t="s">
        <v>14</v>
      </c>
      <c r="G38" s="45" t="s">
        <v>367</v>
      </c>
      <c r="H38" s="44" t="s">
        <v>16</v>
      </c>
      <c r="I38" s="116" t="s">
        <v>45</v>
      </c>
      <c r="J38" s="36" t="s">
        <v>325</v>
      </c>
    </row>
    <row r="39" spans="1:10" ht="31.5">
      <c r="A39" s="37" t="s">
        <v>77</v>
      </c>
      <c r="B39" s="20" t="s">
        <v>33</v>
      </c>
      <c r="C39" s="23">
        <v>5523000</v>
      </c>
      <c r="D39" s="334"/>
      <c r="E39" s="47" t="s">
        <v>13</v>
      </c>
      <c r="F39" s="47"/>
      <c r="G39" s="45" t="s">
        <v>367</v>
      </c>
      <c r="H39" s="47" t="s">
        <v>16</v>
      </c>
      <c r="I39" s="42" t="s">
        <v>156</v>
      </c>
      <c r="J39" s="30"/>
    </row>
    <row r="40" spans="1:10" ht="30">
      <c r="A40" s="37" t="s">
        <v>77</v>
      </c>
      <c r="B40" s="20" t="s">
        <v>34</v>
      </c>
      <c r="C40" s="23">
        <v>538000</v>
      </c>
      <c r="D40" s="335"/>
      <c r="E40" s="47" t="s">
        <v>13</v>
      </c>
      <c r="F40" s="47"/>
      <c r="G40" s="45" t="s">
        <v>367</v>
      </c>
      <c r="H40" s="47" t="s">
        <v>16</v>
      </c>
      <c r="I40" s="42" t="s">
        <v>46</v>
      </c>
      <c r="J40" s="29"/>
    </row>
    <row r="41" spans="1:10">
      <c r="A41" s="10"/>
      <c r="B41" s="26" t="s">
        <v>64</v>
      </c>
      <c r="C41" s="28">
        <f>ROUND((C27+C32),-3)</f>
        <v>252275000</v>
      </c>
      <c r="D41" s="43"/>
      <c r="E41" s="43"/>
      <c r="F41" s="43"/>
      <c r="G41" s="43"/>
      <c r="H41" s="43"/>
      <c r="I41" s="43"/>
      <c r="J41" s="29"/>
    </row>
  </sheetData>
  <mergeCells count="10">
    <mergeCell ref="A1:I1"/>
    <mergeCell ref="A2:I2"/>
    <mergeCell ref="H3:I3"/>
    <mergeCell ref="D6:D18"/>
    <mergeCell ref="D28:D40"/>
    <mergeCell ref="J35:J36"/>
    <mergeCell ref="J13:J14"/>
    <mergeCell ref="A23:I23"/>
    <mergeCell ref="A24:I24"/>
    <mergeCell ref="H25:I25"/>
  </mergeCells>
  <phoneticPr fontId="4" type="noConversion"/>
  <pageMargins left="0.53" right="0.21" top="0.61" bottom="0.3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opLeftCell="A61" workbookViewId="0">
      <selection activeCell="B77" sqref="B77"/>
    </sheetView>
  </sheetViews>
  <sheetFormatPr defaultColWidth="9" defaultRowHeight="15.75"/>
  <cols>
    <col min="1" max="1" width="4.109375" style="220" customWidth="1"/>
    <col min="2" max="2" width="40.44140625" style="220" customWidth="1"/>
    <col min="3" max="3" width="11.77734375" style="220" customWidth="1"/>
    <col min="4" max="4" width="7.77734375" style="220" customWidth="1"/>
    <col min="5" max="5" width="11.21875" style="220" customWidth="1"/>
    <col min="6" max="6" width="8.21875" style="220" customWidth="1"/>
    <col min="7" max="7" width="11.109375" style="220" customWidth="1"/>
    <col min="8" max="8" width="8.109375" style="220" customWidth="1"/>
    <col min="9" max="9" width="11.88671875" style="220" customWidth="1"/>
    <col min="10" max="10" width="16.44140625" style="220" customWidth="1"/>
    <col min="11" max="11" width="20.33203125" style="220" customWidth="1"/>
    <col min="12" max="12" width="16.33203125" style="220" bestFit="1" customWidth="1"/>
    <col min="13" max="16384" width="9" style="220"/>
  </cols>
  <sheetData>
    <row r="1" spans="1:12" ht="16.5">
      <c r="A1" s="316" t="s">
        <v>27</v>
      </c>
      <c r="B1" s="316"/>
      <c r="C1" s="316"/>
      <c r="D1" s="316"/>
      <c r="E1" s="316"/>
      <c r="F1" s="316"/>
      <c r="G1" s="316"/>
      <c r="H1" s="316"/>
      <c r="I1" s="316"/>
      <c r="J1" s="316"/>
    </row>
    <row r="2" spans="1:12" ht="16.5" customHeight="1">
      <c r="A2" s="317" t="s">
        <v>363</v>
      </c>
      <c r="B2" s="317"/>
      <c r="C2" s="317"/>
      <c r="D2" s="317"/>
      <c r="E2" s="317"/>
      <c r="F2" s="317"/>
      <c r="G2" s="317"/>
      <c r="H2" s="317"/>
      <c r="I2" s="317"/>
      <c r="J2" s="317"/>
    </row>
    <row r="3" spans="1:12">
      <c r="H3" s="318"/>
      <c r="I3" s="318"/>
    </row>
    <row r="4" spans="1:12" ht="69" customHeight="1">
      <c r="A4" s="221" t="s">
        <v>21</v>
      </c>
      <c r="B4" s="221" t="s">
        <v>0</v>
      </c>
      <c r="C4" s="221" t="s">
        <v>83</v>
      </c>
      <c r="D4" s="221" t="s">
        <v>1</v>
      </c>
      <c r="E4" s="221" t="s">
        <v>2</v>
      </c>
      <c r="F4" s="221" t="s">
        <v>3</v>
      </c>
      <c r="G4" s="222" t="s">
        <v>4</v>
      </c>
      <c r="H4" s="221" t="s">
        <v>5</v>
      </c>
      <c r="I4" s="221" t="s">
        <v>6</v>
      </c>
      <c r="J4" s="221" t="s">
        <v>65</v>
      </c>
    </row>
    <row r="5" spans="1:12">
      <c r="A5" s="221" t="s">
        <v>57</v>
      </c>
      <c r="B5" s="223" t="s">
        <v>75</v>
      </c>
      <c r="C5" s="224">
        <f>SUM(C6:C8)</f>
        <v>219486100</v>
      </c>
      <c r="D5" s="221"/>
      <c r="E5" s="222"/>
      <c r="F5" s="222"/>
      <c r="G5" s="222"/>
      <c r="H5" s="222"/>
      <c r="I5" s="222"/>
      <c r="J5" s="225"/>
    </row>
    <row r="6" spans="1:12" ht="31.5">
      <c r="A6" s="226" t="s">
        <v>77</v>
      </c>
      <c r="B6" s="227" t="s">
        <v>155</v>
      </c>
      <c r="C6" s="228">
        <f>67992000+136112000</f>
        <v>204104000</v>
      </c>
      <c r="D6" s="326" t="s">
        <v>329</v>
      </c>
      <c r="E6" s="229" t="s">
        <v>13</v>
      </c>
      <c r="F6" s="222"/>
      <c r="G6" s="230"/>
      <c r="H6" s="229" t="s">
        <v>16</v>
      </c>
      <c r="I6" s="230" t="s">
        <v>66</v>
      </c>
      <c r="J6" s="225"/>
    </row>
    <row r="7" spans="1:12" s="232" customFormat="1">
      <c r="A7" s="226" t="s">
        <v>77</v>
      </c>
      <c r="B7" s="227" t="s">
        <v>80</v>
      </c>
      <c r="C7" s="228">
        <v>14784000</v>
      </c>
      <c r="D7" s="319"/>
      <c r="E7" s="229" t="s">
        <v>13</v>
      </c>
      <c r="F7" s="231"/>
      <c r="G7" s="231"/>
      <c r="H7" s="229" t="s">
        <v>16</v>
      </c>
      <c r="I7" s="230" t="s">
        <v>17</v>
      </c>
      <c r="J7" s="221"/>
    </row>
    <row r="8" spans="1:12" s="232" customFormat="1">
      <c r="A8" s="226" t="s">
        <v>77</v>
      </c>
      <c r="B8" s="227" t="s">
        <v>61</v>
      </c>
      <c r="C8" s="228">
        <v>598100</v>
      </c>
      <c r="D8" s="319"/>
      <c r="E8" s="231"/>
      <c r="F8" s="231"/>
      <c r="G8" s="231"/>
      <c r="H8" s="231"/>
      <c r="I8" s="231"/>
      <c r="J8" s="221"/>
    </row>
    <row r="9" spans="1:12">
      <c r="A9" s="221" t="s">
        <v>60</v>
      </c>
      <c r="B9" s="223" t="s">
        <v>76</v>
      </c>
      <c r="C9" s="224">
        <f>+C10+C15</f>
        <v>3780514200</v>
      </c>
      <c r="D9" s="319"/>
      <c r="E9" s="222"/>
      <c r="F9" s="222"/>
      <c r="G9" s="222"/>
      <c r="H9" s="222"/>
      <c r="I9" s="222"/>
      <c r="J9" s="225"/>
    </row>
    <row r="10" spans="1:12">
      <c r="A10" s="221" t="s">
        <v>78</v>
      </c>
      <c r="B10" s="223" t="s">
        <v>58</v>
      </c>
      <c r="C10" s="224">
        <f>SUM(C11:C14)</f>
        <v>370772200</v>
      </c>
      <c r="D10" s="319"/>
      <c r="E10" s="222"/>
      <c r="F10" s="222"/>
      <c r="G10" s="222"/>
      <c r="H10" s="222"/>
      <c r="I10" s="222"/>
      <c r="J10" s="225"/>
    </row>
    <row r="11" spans="1:12">
      <c r="A11" s="226" t="s">
        <v>77</v>
      </c>
      <c r="B11" s="227" t="s">
        <v>79</v>
      </c>
      <c r="C11" s="233">
        <f>1574000*2</f>
        <v>3148000</v>
      </c>
      <c r="D11" s="319"/>
      <c r="E11" s="222"/>
      <c r="F11" s="222"/>
      <c r="G11" s="222"/>
      <c r="H11" s="222"/>
      <c r="I11" s="222"/>
      <c r="J11" s="225"/>
    </row>
    <row r="12" spans="1:12" s="232" customFormat="1">
      <c r="A12" s="226" t="s">
        <v>77</v>
      </c>
      <c r="B12" s="227" t="s">
        <v>158</v>
      </c>
      <c r="C12" s="228">
        <v>270922000</v>
      </c>
      <c r="D12" s="319"/>
      <c r="E12" s="231"/>
      <c r="F12" s="231"/>
      <c r="G12" s="231"/>
      <c r="H12" s="231"/>
      <c r="I12" s="231"/>
      <c r="J12" s="328"/>
    </row>
    <row r="13" spans="1:12">
      <c r="A13" s="226" t="s">
        <v>77</v>
      </c>
      <c r="B13" s="227" t="s">
        <v>63</v>
      </c>
      <c r="C13" s="228">
        <v>38000000</v>
      </c>
      <c r="D13" s="319"/>
      <c r="E13" s="231"/>
      <c r="F13" s="231"/>
      <c r="G13" s="231"/>
      <c r="H13" s="231"/>
      <c r="I13" s="231"/>
      <c r="J13" s="328"/>
    </row>
    <row r="14" spans="1:12">
      <c r="A14" s="226" t="s">
        <v>77</v>
      </c>
      <c r="B14" s="227" t="s">
        <v>356</v>
      </c>
      <c r="C14" s="228">
        <f>97837000*60%</f>
        <v>58702200</v>
      </c>
      <c r="D14" s="319"/>
      <c r="E14" s="231"/>
      <c r="F14" s="231"/>
      <c r="G14" s="231"/>
      <c r="H14" s="231"/>
      <c r="I14" s="231"/>
      <c r="J14" s="234"/>
    </row>
    <row r="15" spans="1:12">
      <c r="A15" s="221" t="s">
        <v>81</v>
      </c>
      <c r="B15" s="223" t="s">
        <v>59</v>
      </c>
      <c r="C15" s="224">
        <f>ROUND(SUM(C16:C21),-3)</f>
        <v>3409742000</v>
      </c>
      <c r="D15" s="319"/>
      <c r="E15" s="222"/>
      <c r="F15" s="222"/>
      <c r="G15" s="222"/>
      <c r="H15" s="222"/>
      <c r="I15" s="222"/>
      <c r="J15" s="225"/>
    </row>
    <row r="16" spans="1:12" ht="31.5">
      <c r="A16" s="226" t="s">
        <v>77</v>
      </c>
      <c r="B16" s="227" t="s">
        <v>40</v>
      </c>
      <c r="C16" s="228">
        <f>5114000+6250000</f>
        <v>11364000</v>
      </c>
      <c r="D16" s="319"/>
      <c r="E16" s="229" t="s">
        <v>13</v>
      </c>
      <c r="F16" s="229"/>
      <c r="G16" s="230" t="s">
        <v>323</v>
      </c>
      <c r="H16" s="229" t="s">
        <v>16</v>
      </c>
      <c r="I16" s="230" t="s">
        <v>17</v>
      </c>
      <c r="J16" s="225"/>
      <c r="K16" s="235">
        <f>+C14+C17</f>
        <v>97837000</v>
      </c>
      <c r="L16" s="235"/>
    </row>
    <row r="17" spans="1:12" ht="30">
      <c r="A17" s="226" t="s">
        <v>77</v>
      </c>
      <c r="B17" s="227" t="s">
        <v>341</v>
      </c>
      <c r="C17" s="228">
        <f>97837000*40%</f>
        <v>39134800</v>
      </c>
      <c r="D17" s="319"/>
      <c r="E17" s="229" t="s">
        <v>13</v>
      </c>
      <c r="F17" s="229"/>
      <c r="G17" s="230" t="s">
        <v>323</v>
      </c>
      <c r="H17" s="229" t="s">
        <v>16</v>
      </c>
      <c r="I17" s="230" t="s">
        <v>46</v>
      </c>
      <c r="J17" s="236"/>
      <c r="K17" s="235"/>
      <c r="L17" s="235">
        <f>+J17+K17</f>
        <v>0</v>
      </c>
    </row>
    <row r="18" spans="1:12" s="244" customFormat="1" ht="45">
      <c r="A18" s="237" t="s">
        <v>77</v>
      </c>
      <c r="B18" s="238" t="s">
        <v>359</v>
      </c>
      <c r="C18" s="239">
        <f>3147895000+120122000</f>
        <v>3268017000</v>
      </c>
      <c r="D18" s="319"/>
      <c r="E18" s="240" t="s">
        <v>362</v>
      </c>
      <c r="F18" s="241" t="s">
        <v>14</v>
      </c>
      <c r="G18" s="241" t="s">
        <v>323</v>
      </c>
      <c r="H18" s="240" t="s">
        <v>16</v>
      </c>
      <c r="I18" s="241" t="s">
        <v>361</v>
      </c>
      <c r="J18" s="242" t="s">
        <v>325</v>
      </c>
      <c r="K18" s="243"/>
      <c r="L18" s="243"/>
    </row>
    <row r="19" spans="1:12" ht="0.75" customHeight="1">
      <c r="A19" s="226" t="s">
        <v>77</v>
      </c>
      <c r="B19" s="227" t="s">
        <v>354</v>
      </c>
      <c r="C19" s="228"/>
      <c r="D19" s="319"/>
      <c r="E19" s="229" t="s">
        <v>352</v>
      </c>
      <c r="F19" s="230" t="s">
        <v>14</v>
      </c>
      <c r="G19" s="230" t="s">
        <v>323</v>
      </c>
      <c r="H19" s="229" t="s">
        <v>16</v>
      </c>
      <c r="I19" s="230" t="s">
        <v>47</v>
      </c>
      <c r="J19" s="245" t="s">
        <v>357</v>
      </c>
      <c r="K19" s="235"/>
      <c r="L19" s="235"/>
    </row>
    <row r="20" spans="1:12" ht="30">
      <c r="A20" s="226" t="s">
        <v>77</v>
      </c>
      <c r="B20" s="227" t="s">
        <v>69</v>
      </c>
      <c r="C20" s="228">
        <v>81782000</v>
      </c>
      <c r="D20" s="319"/>
      <c r="E20" s="229" t="s">
        <v>13</v>
      </c>
      <c r="F20" s="229"/>
      <c r="G20" s="230" t="s">
        <v>323</v>
      </c>
      <c r="H20" s="229" t="s">
        <v>16</v>
      </c>
      <c r="I20" s="230" t="s">
        <v>355</v>
      </c>
      <c r="J20" s="236"/>
    </row>
    <row r="21" spans="1:12" ht="30">
      <c r="A21" s="226" t="s">
        <v>77</v>
      </c>
      <c r="B21" s="227" t="s">
        <v>70</v>
      </c>
      <c r="C21" s="228">
        <v>9444000</v>
      </c>
      <c r="D21" s="327"/>
      <c r="E21" s="229" t="s">
        <v>13</v>
      </c>
      <c r="F21" s="229"/>
      <c r="G21" s="230" t="s">
        <v>323</v>
      </c>
      <c r="H21" s="229" t="s">
        <v>16</v>
      </c>
      <c r="I21" s="230" t="s">
        <v>46</v>
      </c>
      <c r="J21" s="225"/>
    </row>
    <row r="22" spans="1:12">
      <c r="A22" s="221"/>
      <c r="B22" s="223" t="s">
        <v>64</v>
      </c>
      <c r="C22" s="224">
        <f>ROUND((C5+C9),-3)</f>
        <v>4000000000</v>
      </c>
      <c r="D22" s="222"/>
      <c r="E22" s="222"/>
      <c r="F22" s="222"/>
      <c r="G22" s="222"/>
      <c r="H22" s="222"/>
      <c r="I22" s="222"/>
      <c r="J22" s="225"/>
    </row>
    <row r="49" spans="1:10" s="246" customFormat="1"/>
    <row r="50" spans="1:10" s="246" customFormat="1"/>
    <row r="51" spans="1:10" s="246" customFormat="1"/>
    <row r="52" spans="1:10" s="246" customFormat="1"/>
    <row r="53" spans="1:10" s="246" customFormat="1"/>
    <row r="54" spans="1:10" s="246" customFormat="1"/>
    <row r="55" spans="1:10" s="246" customFormat="1"/>
    <row r="56" spans="1:10" s="246" customFormat="1"/>
    <row r="57" spans="1:10" s="246" customFormat="1"/>
    <row r="58" spans="1:10" s="246" customFormat="1" ht="28.5" customHeight="1"/>
    <row r="59" spans="1:10" ht="16.5">
      <c r="A59" s="316" t="s">
        <v>27</v>
      </c>
      <c r="B59" s="316"/>
      <c r="C59" s="316"/>
      <c r="D59" s="316"/>
      <c r="E59" s="316"/>
      <c r="F59" s="316"/>
      <c r="G59" s="316"/>
      <c r="H59" s="316"/>
      <c r="I59" s="316"/>
    </row>
    <row r="60" spans="1:10" ht="16.5">
      <c r="A60" s="317" t="s">
        <v>364</v>
      </c>
      <c r="B60" s="317"/>
      <c r="C60" s="317"/>
      <c r="D60" s="317"/>
      <c r="E60" s="317"/>
      <c r="F60" s="317"/>
      <c r="G60" s="317"/>
      <c r="H60" s="317"/>
      <c r="I60" s="317"/>
    </row>
    <row r="61" spans="1:10">
      <c r="H61" s="318"/>
      <c r="I61" s="318"/>
    </row>
    <row r="62" spans="1:10" ht="63">
      <c r="A62" s="221" t="s">
        <v>21</v>
      </c>
      <c r="B62" s="221" t="s">
        <v>0</v>
      </c>
      <c r="C62" s="221" t="s">
        <v>83</v>
      </c>
      <c r="D62" s="221" t="s">
        <v>1</v>
      </c>
      <c r="E62" s="221" t="s">
        <v>2</v>
      </c>
      <c r="F62" s="221" t="s">
        <v>3</v>
      </c>
      <c r="G62" s="222" t="s">
        <v>4</v>
      </c>
      <c r="H62" s="221" t="s">
        <v>5</v>
      </c>
      <c r="I62" s="221" t="s">
        <v>6</v>
      </c>
      <c r="J62" s="221" t="s">
        <v>65</v>
      </c>
    </row>
    <row r="63" spans="1:10" s="246" customFormat="1">
      <c r="A63" s="221" t="s">
        <v>57</v>
      </c>
      <c r="B63" s="223" t="s">
        <v>75</v>
      </c>
      <c r="C63" s="224">
        <f>SUM(C64:C66)</f>
        <v>219486100</v>
      </c>
      <c r="D63" s="221"/>
      <c r="E63" s="222"/>
      <c r="F63" s="222"/>
      <c r="G63" s="222"/>
      <c r="H63" s="222"/>
      <c r="I63" s="222"/>
      <c r="J63" s="225"/>
    </row>
    <row r="64" spans="1:10" s="246" customFormat="1" ht="31.5" customHeight="1">
      <c r="A64" s="226" t="s">
        <v>77</v>
      </c>
      <c r="B64" s="227" t="s">
        <v>155</v>
      </c>
      <c r="C64" s="228">
        <f>67992000+136112000</f>
        <v>204104000</v>
      </c>
      <c r="D64" s="326" t="s">
        <v>329</v>
      </c>
      <c r="E64" s="229" t="s">
        <v>13</v>
      </c>
      <c r="F64" s="222"/>
      <c r="G64" s="230"/>
      <c r="H64" s="229" t="s">
        <v>16</v>
      </c>
      <c r="I64" s="230" t="s">
        <v>66</v>
      </c>
      <c r="J64" s="225"/>
    </row>
    <row r="65" spans="1:10" s="246" customFormat="1">
      <c r="A65" s="226" t="s">
        <v>77</v>
      </c>
      <c r="B65" s="227" t="s">
        <v>80</v>
      </c>
      <c r="C65" s="228">
        <v>14784000</v>
      </c>
      <c r="D65" s="319"/>
      <c r="E65" s="229" t="s">
        <v>13</v>
      </c>
      <c r="F65" s="231"/>
      <c r="G65" s="231"/>
      <c r="H65" s="229" t="s">
        <v>16</v>
      </c>
      <c r="I65" s="230" t="s">
        <v>17</v>
      </c>
      <c r="J65" s="221"/>
    </row>
    <row r="66" spans="1:10" s="246" customFormat="1">
      <c r="A66" s="226" t="s">
        <v>77</v>
      </c>
      <c r="B66" s="227" t="s">
        <v>61</v>
      </c>
      <c r="C66" s="228">
        <v>598100</v>
      </c>
      <c r="D66" s="319"/>
      <c r="E66" s="231"/>
      <c r="F66" s="231"/>
      <c r="G66" s="231"/>
      <c r="H66" s="231"/>
      <c r="I66" s="231"/>
      <c r="J66" s="221"/>
    </row>
    <row r="67" spans="1:10" s="246" customFormat="1">
      <c r="A67" s="221" t="s">
        <v>60</v>
      </c>
      <c r="B67" s="223" t="s">
        <v>76</v>
      </c>
      <c r="C67" s="224">
        <f>+C68+C73</f>
        <v>3780514200</v>
      </c>
      <c r="D67" s="319"/>
      <c r="E67" s="222"/>
      <c r="F67" s="222"/>
      <c r="G67" s="222"/>
      <c r="H67" s="222"/>
      <c r="I67" s="222"/>
      <c r="J67" s="225"/>
    </row>
    <row r="68" spans="1:10" s="246" customFormat="1">
      <c r="A68" s="221" t="s">
        <v>78</v>
      </c>
      <c r="B68" s="223" t="s">
        <v>58</v>
      </c>
      <c r="C68" s="224">
        <f>SUM(C69:C72)</f>
        <v>370772200</v>
      </c>
      <c r="D68" s="319"/>
      <c r="E68" s="222"/>
      <c r="F68" s="222"/>
      <c r="G68" s="222"/>
      <c r="H68" s="222"/>
      <c r="I68" s="222"/>
      <c r="J68" s="225"/>
    </row>
    <row r="69" spans="1:10" s="246" customFormat="1">
      <c r="A69" s="226" t="s">
        <v>77</v>
      </c>
      <c r="B69" s="227" t="s">
        <v>79</v>
      </c>
      <c r="C69" s="233">
        <f>1574000*2</f>
        <v>3148000</v>
      </c>
      <c r="D69" s="319"/>
      <c r="E69" s="222"/>
      <c r="F69" s="222"/>
      <c r="G69" s="222"/>
      <c r="H69" s="222"/>
      <c r="I69" s="222"/>
      <c r="J69" s="225"/>
    </row>
    <row r="70" spans="1:10" s="246" customFormat="1">
      <c r="A70" s="226" t="s">
        <v>77</v>
      </c>
      <c r="B70" s="227" t="s">
        <v>158</v>
      </c>
      <c r="C70" s="228">
        <v>270922000</v>
      </c>
      <c r="D70" s="319"/>
      <c r="E70" s="231"/>
      <c r="F70" s="231"/>
      <c r="G70" s="231"/>
      <c r="H70" s="231"/>
      <c r="I70" s="231"/>
      <c r="J70" s="328"/>
    </row>
    <row r="71" spans="1:10" s="246" customFormat="1">
      <c r="A71" s="226" t="s">
        <v>77</v>
      </c>
      <c r="B71" s="227" t="s">
        <v>63</v>
      </c>
      <c r="C71" s="228">
        <v>38000000</v>
      </c>
      <c r="D71" s="319"/>
      <c r="E71" s="231"/>
      <c r="F71" s="231"/>
      <c r="G71" s="231"/>
      <c r="H71" s="231"/>
      <c r="I71" s="231"/>
      <c r="J71" s="328"/>
    </row>
    <row r="72" spans="1:10" s="246" customFormat="1">
      <c r="A72" s="226" t="s">
        <v>77</v>
      </c>
      <c r="B72" s="227" t="s">
        <v>356</v>
      </c>
      <c r="C72" s="228">
        <f>97837000*60%</f>
        <v>58702200</v>
      </c>
      <c r="D72" s="319"/>
      <c r="E72" s="231"/>
      <c r="F72" s="231"/>
      <c r="G72" s="231"/>
      <c r="H72" s="231"/>
      <c r="I72" s="231"/>
      <c r="J72" s="234"/>
    </row>
    <row r="73" spans="1:10" s="246" customFormat="1">
      <c r="A73" s="221" t="s">
        <v>81</v>
      </c>
      <c r="B73" s="223" t="s">
        <v>59</v>
      </c>
      <c r="C73" s="224">
        <f>ROUND(SUM(C74:C78),-3)</f>
        <v>3409742000</v>
      </c>
      <c r="D73" s="319"/>
      <c r="E73" s="222"/>
      <c r="F73" s="222"/>
      <c r="G73" s="222"/>
      <c r="H73" s="222"/>
      <c r="I73" s="222"/>
      <c r="J73" s="225"/>
    </row>
    <row r="74" spans="1:10" s="246" customFormat="1" ht="31.5">
      <c r="A74" s="226" t="s">
        <v>77</v>
      </c>
      <c r="B74" s="227" t="s">
        <v>40</v>
      </c>
      <c r="C74" s="228">
        <f>5114000+6250000</f>
        <v>11364000</v>
      </c>
      <c r="D74" s="319"/>
      <c r="E74" s="229" t="s">
        <v>13</v>
      </c>
      <c r="F74" s="229"/>
      <c r="G74" s="230" t="s">
        <v>323</v>
      </c>
      <c r="H74" s="229" t="s">
        <v>16</v>
      </c>
      <c r="I74" s="230" t="s">
        <v>17</v>
      </c>
      <c r="J74" s="225"/>
    </row>
    <row r="75" spans="1:10" s="246" customFormat="1" ht="30">
      <c r="A75" s="226" t="s">
        <v>77</v>
      </c>
      <c r="B75" s="227" t="s">
        <v>341</v>
      </c>
      <c r="C75" s="228">
        <f>97837000*40%</f>
        <v>39134800</v>
      </c>
      <c r="D75" s="319"/>
      <c r="E75" s="229" t="s">
        <v>13</v>
      </c>
      <c r="F75" s="229"/>
      <c r="G75" s="230" t="s">
        <v>323</v>
      </c>
      <c r="H75" s="229" t="s">
        <v>16</v>
      </c>
      <c r="I75" s="230" t="s">
        <v>46</v>
      </c>
      <c r="J75" s="236"/>
    </row>
    <row r="76" spans="1:10" s="246" customFormat="1" ht="45">
      <c r="A76" s="237" t="s">
        <v>77</v>
      </c>
      <c r="B76" s="238" t="s">
        <v>359</v>
      </c>
      <c r="C76" s="239">
        <f>3147895000+120122000</f>
        <v>3268017000</v>
      </c>
      <c r="D76" s="319"/>
      <c r="E76" s="240" t="s">
        <v>362</v>
      </c>
      <c r="F76" s="241" t="s">
        <v>14</v>
      </c>
      <c r="G76" s="241" t="s">
        <v>323</v>
      </c>
      <c r="H76" s="240" t="s">
        <v>16</v>
      </c>
      <c r="I76" s="241" t="s">
        <v>361</v>
      </c>
      <c r="J76" s="242" t="s">
        <v>325</v>
      </c>
    </row>
    <row r="77" spans="1:10" s="246" customFormat="1" ht="30">
      <c r="A77" s="226" t="s">
        <v>77</v>
      </c>
      <c r="B77" s="227" t="s">
        <v>69</v>
      </c>
      <c r="C77" s="228">
        <v>81782000</v>
      </c>
      <c r="D77" s="319"/>
      <c r="E77" s="229" t="s">
        <v>13</v>
      </c>
      <c r="F77" s="229"/>
      <c r="G77" s="230" t="s">
        <v>323</v>
      </c>
      <c r="H77" s="229" t="s">
        <v>16</v>
      </c>
      <c r="I77" s="230" t="s">
        <v>355</v>
      </c>
      <c r="J77" s="236"/>
    </row>
    <row r="78" spans="1:10" s="246" customFormat="1" ht="30">
      <c r="A78" s="226" t="s">
        <v>77</v>
      </c>
      <c r="B78" s="227" t="s">
        <v>70</v>
      </c>
      <c r="C78" s="228">
        <v>9444000</v>
      </c>
      <c r="D78" s="327"/>
      <c r="E78" s="229" t="s">
        <v>13</v>
      </c>
      <c r="F78" s="229"/>
      <c r="G78" s="230" t="s">
        <v>323</v>
      </c>
      <c r="H78" s="229" t="s">
        <v>16</v>
      </c>
      <c r="I78" s="230" t="s">
        <v>46</v>
      </c>
      <c r="J78" s="225"/>
    </row>
    <row r="79" spans="1:10" s="246" customFormat="1">
      <c r="A79" s="221"/>
      <c r="B79" s="223" t="s">
        <v>64</v>
      </c>
      <c r="C79" s="224">
        <f>ROUND((C63+C67),-3)</f>
        <v>4000000000</v>
      </c>
      <c r="D79" s="222"/>
      <c r="E79" s="222"/>
      <c r="F79" s="222"/>
      <c r="G79" s="222"/>
      <c r="H79" s="222"/>
      <c r="I79" s="222"/>
      <c r="J79" s="225"/>
    </row>
    <row r="80" spans="1:10" s="246" customFormat="1"/>
    <row r="81" s="246" customFormat="1"/>
    <row r="82" s="246" customFormat="1"/>
    <row r="83" s="246" customFormat="1"/>
    <row r="84" s="246" customFormat="1"/>
    <row r="85" s="246" customFormat="1"/>
    <row r="86" s="246" customFormat="1"/>
    <row r="87" s="246" customFormat="1"/>
    <row r="88" s="246" customFormat="1"/>
    <row r="89" s="246" customFormat="1"/>
    <row r="90" s="246" customFormat="1"/>
    <row r="91" s="246" customFormat="1"/>
    <row r="92" s="246" customFormat="1"/>
    <row r="93" s="246" customFormat="1"/>
    <row r="94" s="246" customFormat="1"/>
    <row r="95" s="246" customFormat="1"/>
    <row r="96" s="246" customFormat="1"/>
    <row r="97" s="246" customFormat="1"/>
    <row r="98" s="246" customFormat="1"/>
    <row r="99" s="246" customFormat="1"/>
    <row r="100" s="246" customFormat="1"/>
    <row r="101" s="246" customFormat="1"/>
    <row r="102" s="246" customFormat="1"/>
    <row r="103" s="246" customFormat="1"/>
    <row r="104" s="246" customFormat="1"/>
    <row r="105" s="246" customFormat="1"/>
    <row r="106" s="246" customFormat="1"/>
    <row r="107" s="246" customFormat="1"/>
    <row r="108" s="246" customFormat="1"/>
    <row r="109" s="246" customFormat="1"/>
    <row r="110" s="246" customFormat="1"/>
    <row r="111" s="246" customFormat="1"/>
    <row r="112" s="246" customFormat="1"/>
    <row r="113" spans="1:10" s="246" customFormat="1"/>
    <row r="114" spans="1:10" s="246" customFormat="1"/>
    <row r="115" spans="1:10" s="246" customFormat="1"/>
    <row r="116" spans="1:10" s="246" customFormat="1" ht="16.5">
      <c r="A116" s="320" t="s">
        <v>27</v>
      </c>
      <c r="B116" s="320"/>
      <c r="C116" s="320"/>
      <c r="D116" s="320"/>
      <c r="E116" s="320"/>
      <c r="F116" s="320"/>
      <c r="G116" s="320"/>
      <c r="H116" s="320"/>
      <c r="I116" s="320"/>
    </row>
    <row r="117" spans="1:10" s="246" customFormat="1" ht="16.5">
      <c r="A117" s="315" t="s">
        <v>358</v>
      </c>
      <c r="B117" s="315"/>
      <c r="C117" s="315"/>
      <c r="D117" s="315"/>
      <c r="E117" s="315"/>
      <c r="F117" s="315"/>
      <c r="G117" s="315"/>
      <c r="H117" s="315"/>
      <c r="I117" s="315"/>
    </row>
    <row r="118" spans="1:10" s="246" customFormat="1">
      <c r="H118" s="322"/>
      <c r="I118" s="322"/>
    </row>
    <row r="119" spans="1:10" s="246" customFormat="1" ht="63">
      <c r="A119" s="247" t="s">
        <v>21</v>
      </c>
      <c r="B119" s="247" t="s">
        <v>0</v>
      </c>
      <c r="C119" s="247" t="s">
        <v>360</v>
      </c>
      <c r="D119" s="247" t="s">
        <v>1</v>
      </c>
      <c r="E119" s="247" t="s">
        <v>2</v>
      </c>
      <c r="F119" s="247" t="s">
        <v>3</v>
      </c>
      <c r="G119" s="248" t="s">
        <v>4</v>
      </c>
      <c r="H119" s="247" t="s">
        <v>5</v>
      </c>
      <c r="I119" s="247" t="s">
        <v>6</v>
      </c>
      <c r="J119" s="247" t="s">
        <v>65</v>
      </c>
    </row>
    <row r="120" spans="1:10" s="246" customFormat="1">
      <c r="A120" s="247" t="s">
        <v>57</v>
      </c>
      <c r="B120" s="249" t="s">
        <v>75</v>
      </c>
      <c r="C120" s="250">
        <f>SUM(C121:C123)</f>
        <v>316130000</v>
      </c>
      <c r="D120" s="247"/>
      <c r="E120" s="248"/>
      <c r="F120" s="248"/>
      <c r="G120" s="248"/>
      <c r="H120" s="248"/>
      <c r="I120" s="248"/>
      <c r="J120" s="251"/>
    </row>
    <row r="121" spans="1:10" s="246" customFormat="1" ht="31.5">
      <c r="A121" s="252" t="s">
        <v>77</v>
      </c>
      <c r="B121" s="253" t="s">
        <v>155</v>
      </c>
      <c r="C121" s="254">
        <f>91412000+195788000</f>
        <v>287200000</v>
      </c>
      <c r="D121" s="323" t="s">
        <v>329</v>
      </c>
      <c r="E121" s="255" t="s">
        <v>13</v>
      </c>
      <c r="F121" s="248"/>
      <c r="G121" s="256"/>
      <c r="H121" s="255" t="s">
        <v>16</v>
      </c>
      <c r="I121" s="256" t="s">
        <v>66</v>
      </c>
      <c r="J121" s="251"/>
    </row>
    <row r="122" spans="1:10" s="246" customFormat="1">
      <c r="A122" s="252" t="s">
        <v>77</v>
      </c>
      <c r="B122" s="253" t="s">
        <v>80</v>
      </c>
      <c r="C122" s="254">
        <v>27410000</v>
      </c>
      <c r="D122" s="324"/>
      <c r="E122" s="255" t="s">
        <v>13</v>
      </c>
      <c r="F122" s="257"/>
      <c r="G122" s="257"/>
      <c r="H122" s="255" t="s">
        <v>16</v>
      </c>
      <c r="I122" s="256" t="s">
        <v>17</v>
      </c>
      <c r="J122" s="247"/>
    </row>
    <row r="123" spans="1:10" s="246" customFormat="1">
      <c r="A123" s="252" t="s">
        <v>77</v>
      </c>
      <c r="B123" s="253" t="s">
        <v>61</v>
      </c>
      <c r="C123" s="254">
        <v>1520000</v>
      </c>
      <c r="D123" s="324"/>
      <c r="E123" s="257"/>
      <c r="F123" s="257"/>
      <c r="G123" s="257"/>
      <c r="H123" s="257"/>
      <c r="I123" s="257"/>
      <c r="J123" s="247"/>
    </row>
    <row r="124" spans="1:10" s="246" customFormat="1">
      <c r="A124" s="247" t="s">
        <v>60</v>
      </c>
      <c r="B124" s="249" t="s">
        <v>76</v>
      </c>
      <c r="C124" s="250">
        <f>+C125+C130</f>
        <v>7683870400</v>
      </c>
      <c r="D124" s="324"/>
      <c r="E124" s="248"/>
      <c r="F124" s="248"/>
      <c r="G124" s="248"/>
      <c r="H124" s="248"/>
      <c r="I124" s="248"/>
      <c r="J124" s="251"/>
    </row>
    <row r="125" spans="1:10" s="246" customFormat="1">
      <c r="A125" s="247" t="s">
        <v>78</v>
      </c>
      <c r="B125" s="249" t="s">
        <v>58</v>
      </c>
      <c r="C125" s="250">
        <f>SUM(C126:C129)</f>
        <v>395392400</v>
      </c>
      <c r="D125" s="324"/>
      <c r="E125" s="248"/>
      <c r="F125" s="248"/>
      <c r="G125" s="248"/>
      <c r="H125" s="248"/>
      <c r="I125" s="248"/>
      <c r="J125" s="251"/>
    </row>
    <row r="126" spans="1:10" s="246" customFormat="1">
      <c r="A126" s="252" t="s">
        <v>77</v>
      </c>
      <c r="B126" s="253" t="s">
        <v>79</v>
      </c>
      <c r="C126" s="258">
        <f>3355000+3355000</f>
        <v>6710000</v>
      </c>
      <c r="D126" s="324"/>
      <c r="E126" s="248"/>
      <c r="F126" s="248"/>
      <c r="G126" s="248"/>
      <c r="H126" s="248"/>
      <c r="I126" s="248"/>
      <c r="J126" s="251"/>
    </row>
    <row r="127" spans="1:10" s="246" customFormat="1">
      <c r="A127" s="252" t="s">
        <v>77</v>
      </c>
      <c r="B127" s="253" t="s">
        <v>158</v>
      </c>
      <c r="C127" s="254">
        <v>205229000</v>
      </c>
      <c r="D127" s="324"/>
      <c r="E127" s="257"/>
      <c r="F127" s="257"/>
      <c r="G127" s="257"/>
      <c r="H127" s="257"/>
      <c r="I127" s="257"/>
      <c r="J127" s="321"/>
    </row>
    <row r="128" spans="1:10" s="246" customFormat="1">
      <c r="A128" s="252" t="s">
        <v>77</v>
      </c>
      <c r="B128" s="253" t="s">
        <v>63</v>
      </c>
      <c r="C128" s="254">
        <v>76000000</v>
      </c>
      <c r="D128" s="324"/>
      <c r="E128" s="257"/>
      <c r="F128" s="257"/>
      <c r="G128" s="257"/>
      <c r="H128" s="257"/>
      <c r="I128" s="257"/>
      <c r="J128" s="321"/>
    </row>
    <row r="129" spans="1:10" s="246" customFormat="1">
      <c r="A129" s="252" t="s">
        <v>77</v>
      </c>
      <c r="B129" s="253" t="s">
        <v>356</v>
      </c>
      <c r="C129" s="254">
        <f>179089000*60%</f>
        <v>107453400</v>
      </c>
      <c r="D129" s="324"/>
      <c r="E129" s="257"/>
      <c r="F129" s="257"/>
      <c r="G129" s="257"/>
      <c r="H129" s="257"/>
      <c r="I129" s="257"/>
      <c r="J129" s="259"/>
    </row>
    <row r="130" spans="1:10" s="246" customFormat="1">
      <c r="A130" s="247" t="s">
        <v>81</v>
      </c>
      <c r="B130" s="249" t="s">
        <v>59</v>
      </c>
      <c r="C130" s="250">
        <f>ROUND(SUM(C131:C136),-3)</f>
        <v>7288478000</v>
      </c>
      <c r="D130" s="324"/>
      <c r="E130" s="248"/>
      <c r="F130" s="248"/>
      <c r="G130" s="248"/>
      <c r="H130" s="248"/>
      <c r="I130" s="248"/>
      <c r="J130" s="251"/>
    </row>
    <row r="131" spans="1:10" s="246" customFormat="1" ht="31.5">
      <c r="A131" s="252" t="s">
        <v>77</v>
      </c>
      <c r="B131" s="253" t="s">
        <v>40</v>
      </c>
      <c r="C131" s="254">
        <f>10447000+12769000</f>
        <v>23216000</v>
      </c>
      <c r="D131" s="324"/>
      <c r="E131" s="255" t="s">
        <v>13</v>
      </c>
      <c r="F131" s="255"/>
      <c r="G131" s="256" t="s">
        <v>323</v>
      </c>
      <c r="H131" s="255" t="s">
        <v>16</v>
      </c>
      <c r="I131" s="256" t="s">
        <v>17</v>
      </c>
      <c r="J131" s="251"/>
    </row>
    <row r="132" spans="1:10" s="246" customFormat="1" ht="30">
      <c r="A132" s="252" t="s">
        <v>77</v>
      </c>
      <c r="B132" s="253" t="s">
        <v>341</v>
      </c>
      <c r="C132" s="254">
        <f>179089000*40%</f>
        <v>71635600</v>
      </c>
      <c r="D132" s="324"/>
      <c r="E132" s="255" t="s">
        <v>13</v>
      </c>
      <c r="F132" s="255"/>
      <c r="G132" s="256" t="s">
        <v>323</v>
      </c>
      <c r="H132" s="255" t="s">
        <v>16</v>
      </c>
      <c r="I132" s="256" t="s">
        <v>46</v>
      </c>
      <c r="J132" s="260"/>
    </row>
    <row r="133" spans="1:10" s="246" customFormat="1" ht="45">
      <c r="A133" s="252" t="s">
        <v>77</v>
      </c>
      <c r="B133" s="253" t="s">
        <v>351</v>
      </c>
      <c r="C133" s="254">
        <f>3632738000*1.04</f>
        <v>3778047520</v>
      </c>
      <c r="D133" s="324"/>
      <c r="E133" s="255" t="s">
        <v>352</v>
      </c>
      <c r="F133" s="256" t="s">
        <v>14</v>
      </c>
      <c r="G133" s="256" t="s">
        <v>323</v>
      </c>
      <c r="H133" s="255" t="s">
        <v>16</v>
      </c>
      <c r="I133" s="256" t="s">
        <v>47</v>
      </c>
      <c r="J133" s="261" t="s">
        <v>353</v>
      </c>
    </row>
    <row r="134" spans="1:10" s="246" customFormat="1" ht="45">
      <c r="A134" s="252" t="s">
        <v>77</v>
      </c>
      <c r="B134" s="253" t="s">
        <v>354</v>
      </c>
      <c r="C134" s="254">
        <f>3076994000*1.04+1000</f>
        <v>3200074760</v>
      </c>
      <c r="D134" s="324"/>
      <c r="E134" s="255" t="s">
        <v>352</v>
      </c>
      <c r="F134" s="256" t="s">
        <v>14</v>
      </c>
      <c r="G134" s="256" t="s">
        <v>323</v>
      </c>
      <c r="H134" s="255" t="s">
        <v>16</v>
      </c>
      <c r="I134" s="256" t="s">
        <v>47</v>
      </c>
      <c r="J134" s="261" t="s">
        <v>357</v>
      </c>
    </row>
    <row r="135" spans="1:10" s="246" customFormat="1" ht="30">
      <c r="A135" s="252" t="s">
        <v>77</v>
      </c>
      <c r="B135" s="253" t="s">
        <v>69</v>
      </c>
      <c r="C135" s="254">
        <v>195375000</v>
      </c>
      <c r="D135" s="324"/>
      <c r="E135" s="255" t="s">
        <v>13</v>
      </c>
      <c r="F135" s="255"/>
      <c r="G135" s="256" t="s">
        <v>323</v>
      </c>
      <c r="H135" s="255" t="s">
        <v>16</v>
      </c>
      <c r="I135" s="256" t="s">
        <v>355</v>
      </c>
      <c r="J135" s="260"/>
    </row>
    <row r="136" spans="1:10" s="246" customFormat="1" ht="30">
      <c r="A136" s="252" t="s">
        <v>77</v>
      </c>
      <c r="B136" s="253" t="s">
        <v>70</v>
      </c>
      <c r="C136" s="254">
        <v>20129000</v>
      </c>
      <c r="D136" s="325"/>
      <c r="E136" s="255" t="s">
        <v>13</v>
      </c>
      <c r="F136" s="255"/>
      <c r="G136" s="256" t="s">
        <v>323</v>
      </c>
      <c r="H136" s="255" t="s">
        <v>16</v>
      </c>
      <c r="I136" s="256" t="s">
        <v>46</v>
      </c>
      <c r="J136" s="251"/>
    </row>
    <row r="137" spans="1:10" s="246" customFormat="1">
      <c r="A137" s="247"/>
      <c r="B137" s="249" t="s">
        <v>64</v>
      </c>
      <c r="C137" s="250">
        <f>ROUND((C120+C124),-3)</f>
        <v>8000000000</v>
      </c>
      <c r="D137" s="248"/>
      <c r="E137" s="248"/>
      <c r="F137" s="248"/>
      <c r="G137" s="248"/>
      <c r="H137" s="248"/>
      <c r="I137" s="248"/>
      <c r="J137" s="251"/>
    </row>
    <row r="138" spans="1:10" s="246" customFormat="1"/>
    <row r="139" spans="1:10" s="246" customFormat="1"/>
    <row r="140" spans="1:10" s="246" customFormat="1"/>
    <row r="141" spans="1:10" s="246" customFormat="1"/>
    <row r="142" spans="1:10" s="246" customFormat="1"/>
    <row r="143" spans="1:10" s="246" customFormat="1"/>
    <row r="144" spans="1:10" s="246" customFormat="1"/>
    <row r="145" s="246" customFormat="1"/>
    <row r="146" s="246" customFormat="1"/>
    <row r="147" s="246" customFormat="1"/>
    <row r="148" s="246" customFormat="1"/>
    <row r="149" s="246" customFormat="1"/>
    <row r="150" s="246" customFormat="1"/>
    <row r="151" s="246" customFormat="1"/>
    <row r="152" s="246" customFormat="1"/>
    <row r="153" s="246" customFormat="1"/>
    <row r="154" s="246" customFormat="1"/>
    <row r="155" s="246" customFormat="1"/>
    <row r="156" s="246" customFormat="1"/>
    <row r="157" s="246" customFormat="1"/>
    <row r="158" s="246" customFormat="1"/>
    <row r="159" s="246" customFormat="1"/>
    <row r="160" s="246" customFormat="1"/>
    <row r="161" s="246" customFormat="1"/>
    <row r="162" s="246" customFormat="1"/>
    <row r="163" s="246" customFormat="1"/>
    <row r="164" s="246" customFormat="1"/>
    <row r="165" s="246" customFormat="1"/>
    <row r="166" s="246" customFormat="1"/>
    <row r="167" s="246" customFormat="1"/>
    <row r="168" s="246" customFormat="1"/>
    <row r="169" s="246" customFormat="1"/>
    <row r="170" s="246" customFormat="1"/>
    <row r="171" s="246" customFormat="1"/>
    <row r="172" s="246" customFormat="1"/>
    <row r="173" s="246" customFormat="1"/>
    <row r="174" s="246" customFormat="1"/>
    <row r="175" s="246" customFormat="1"/>
    <row r="176" s="246" customFormat="1"/>
    <row r="177" s="246" customFormat="1"/>
    <row r="178" s="246" customFormat="1"/>
    <row r="179" s="246" customFormat="1"/>
    <row r="180" s="246" customFormat="1"/>
    <row r="181" s="246" customFormat="1"/>
    <row r="182" s="246" customFormat="1"/>
    <row r="183" s="246" customFormat="1"/>
    <row r="184" s="246" customFormat="1"/>
    <row r="185" s="246" customFormat="1"/>
    <row r="186" s="246" customFormat="1"/>
    <row r="187" s="246" customFormat="1"/>
    <row r="188" s="246" customFormat="1"/>
    <row r="189" s="246" customFormat="1"/>
    <row r="190" s="246" customFormat="1"/>
    <row r="191" s="246" customFormat="1"/>
    <row r="192" s="246" customFormat="1"/>
    <row r="193" s="246" customFormat="1"/>
    <row r="194" s="246" customFormat="1"/>
    <row r="195" s="246" customFormat="1"/>
    <row r="196" s="246" customFormat="1"/>
    <row r="197" s="246" customFormat="1"/>
    <row r="198" s="246" customFormat="1"/>
    <row r="199" s="246" customFormat="1"/>
    <row r="200" s="246" customFormat="1"/>
    <row r="201" s="246" customFormat="1"/>
    <row r="202" s="246" customFormat="1"/>
    <row r="203" s="246" customFormat="1"/>
    <row r="204" s="246" customFormat="1"/>
    <row r="205" s="246" customFormat="1"/>
    <row r="206" s="246" customFormat="1"/>
    <row r="207" s="246" customFormat="1"/>
    <row r="208" s="246" customFormat="1"/>
    <row r="209" s="246" customFormat="1"/>
    <row r="210" s="246" customFormat="1"/>
    <row r="211" s="246" customFormat="1"/>
    <row r="212" s="246" customFormat="1"/>
    <row r="213" s="246" customFormat="1"/>
    <row r="214" s="246" customFormat="1"/>
    <row r="215" s="246" customFormat="1"/>
    <row r="216" s="246" customFormat="1"/>
    <row r="217" s="246" customFormat="1"/>
    <row r="218" s="246" customFormat="1"/>
    <row r="219" s="246" customFormat="1"/>
    <row r="220" s="246" customFormat="1"/>
    <row r="221" s="246" customFormat="1"/>
    <row r="222" s="246" customFormat="1"/>
    <row r="223" s="246" customFormat="1"/>
    <row r="224" s="246" customFormat="1"/>
    <row r="225" s="246" customFormat="1"/>
    <row r="226" s="246" customFormat="1"/>
    <row r="227" s="246" customFormat="1"/>
    <row r="228" s="246" customFormat="1"/>
    <row r="229" s="246" customFormat="1"/>
    <row r="230" s="246" customFormat="1"/>
    <row r="231" s="246" customFormat="1"/>
    <row r="232" s="246" customFormat="1"/>
    <row r="233" s="246" customFormat="1"/>
    <row r="234" s="246" customFormat="1"/>
    <row r="235" s="246" customFormat="1"/>
    <row r="236" s="246" customFormat="1"/>
    <row r="237" s="246" customFormat="1"/>
    <row r="238" s="246" customFormat="1"/>
    <row r="239" s="246" customFormat="1"/>
    <row r="240" s="246" customFormat="1"/>
    <row r="241" s="246" customFormat="1"/>
    <row r="242" s="246" customFormat="1"/>
    <row r="243" s="246" customFormat="1"/>
    <row r="244" s="246" customFormat="1"/>
    <row r="245" s="246" customFormat="1"/>
    <row r="246" s="246" customFormat="1"/>
    <row r="247" s="246" customFormat="1"/>
    <row r="248" s="246" customFormat="1"/>
    <row r="249" s="246" customFormat="1"/>
    <row r="250" s="246" customFormat="1"/>
    <row r="251" s="246" customFormat="1"/>
    <row r="252" s="246" customFormat="1"/>
    <row r="253" s="246" customFormat="1"/>
    <row r="254" s="246" customFormat="1"/>
    <row r="255" s="246" customFormat="1"/>
    <row r="256" s="246" customFormat="1"/>
    <row r="257" s="246" customFormat="1"/>
    <row r="258" s="246" customFormat="1"/>
    <row r="259" s="246" customFormat="1"/>
    <row r="260" s="246" customFormat="1"/>
    <row r="261" s="246" customFormat="1"/>
    <row r="262" s="246" customFormat="1"/>
    <row r="263" s="246" customFormat="1"/>
    <row r="264" s="246" customFormat="1"/>
    <row r="265" s="246" customFormat="1"/>
    <row r="266" s="246" customFormat="1"/>
    <row r="267" s="246" customFormat="1"/>
    <row r="268" s="246" customFormat="1"/>
    <row r="269" s="246" customFormat="1"/>
    <row r="270" s="246" customFormat="1"/>
    <row r="271" s="246" customFormat="1"/>
    <row r="272" s="246" customFormat="1"/>
    <row r="273" s="246" customFormat="1"/>
    <row r="274" s="246" customFormat="1"/>
    <row r="275" s="246" customFormat="1"/>
    <row r="276" s="246" customFormat="1"/>
    <row r="277" s="246" customFormat="1"/>
    <row r="278" s="246" customFormat="1"/>
    <row r="279" s="246" customFormat="1"/>
    <row r="280" s="246" customFormat="1"/>
    <row r="281" s="246" customFormat="1"/>
    <row r="282" s="246" customFormat="1"/>
    <row r="283" s="246" customFormat="1"/>
    <row r="284" s="246" customFormat="1"/>
    <row r="285" s="246" customFormat="1"/>
    <row r="286" s="246" customFormat="1"/>
    <row r="287" s="246" customFormat="1"/>
    <row r="288" s="246" customFormat="1"/>
    <row r="289" s="246" customFormat="1"/>
    <row r="290" s="246" customFormat="1"/>
    <row r="291" s="246" customFormat="1"/>
    <row r="292" s="246" customFormat="1"/>
    <row r="293" s="246" customFormat="1"/>
    <row r="294" s="246" customFormat="1"/>
    <row r="295" s="246" customFormat="1"/>
    <row r="296" s="246" customFormat="1"/>
    <row r="297" s="246" customFormat="1"/>
    <row r="298" s="246" customFormat="1"/>
    <row r="299" s="246" customFormat="1"/>
    <row r="300" s="246" customFormat="1"/>
    <row r="301" s="246" customFormat="1"/>
    <row r="302" s="246" customFormat="1"/>
    <row r="303" s="246" customFormat="1"/>
  </sheetData>
  <mergeCells count="15">
    <mergeCell ref="A60:I60"/>
    <mergeCell ref="H61:I61"/>
    <mergeCell ref="D64:D78"/>
    <mergeCell ref="D121:D136"/>
    <mergeCell ref="J127:J128"/>
    <mergeCell ref="J70:J71"/>
    <mergeCell ref="A116:I116"/>
    <mergeCell ref="A117:I117"/>
    <mergeCell ref="H118:I118"/>
    <mergeCell ref="A59:I59"/>
    <mergeCell ref="H3:I3"/>
    <mergeCell ref="A2:J2"/>
    <mergeCell ref="A1:J1"/>
    <mergeCell ref="J12:J13"/>
    <mergeCell ref="D6:D21"/>
  </mergeCells>
  <phoneticPr fontId="4" type="noConversion"/>
  <pageMargins left="0.28999999999999998" right="0.2" top="0.56999999999999995" bottom="0.33"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B17" sqref="B17"/>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3" width="18.109375" style="1" customWidth="1"/>
    <col min="14" max="14" width="12.109375" style="1" bestFit="1" customWidth="1"/>
    <col min="15" max="16384" width="9" style="1"/>
  </cols>
  <sheetData>
    <row r="1" spans="1:10" ht="16.5">
      <c r="A1" s="330" t="s">
        <v>27</v>
      </c>
      <c r="B1" s="330"/>
      <c r="C1" s="330"/>
      <c r="D1" s="330"/>
      <c r="E1" s="330"/>
      <c r="F1" s="330"/>
      <c r="G1" s="330"/>
      <c r="H1" s="330"/>
      <c r="I1" s="330"/>
    </row>
    <row r="2" spans="1:10" ht="16.5">
      <c r="A2" s="331" t="s">
        <v>334</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SUM(C6:C11)-C6</f>
        <v>235984000</v>
      </c>
      <c r="D5" s="10"/>
      <c r="E5" s="43"/>
      <c r="F5" s="43"/>
      <c r="G5" s="43"/>
      <c r="H5" s="43"/>
      <c r="I5" s="43"/>
      <c r="J5" s="29"/>
    </row>
    <row r="6" spans="1:10" ht="31.5">
      <c r="A6" s="38" t="s">
        <v>77</v>
      </c>
      <c r="B6" s="20" t="s">
        <v>155</v>
      </c>
      <c r="C6" s="23">
        <f>+C7+C8</f>
        <v>221419000</v>
      </c>
      <c r="D6" s="333" t="s">
        <v>329</v>
      </c>
      <c r="E6" s="47"/>
      <c r="F6" s="43"/>
      <c r="G6" s="42"/>
      <c r="H6" s="47"/>
      <c r="I6" s="42"/>
      <c r="J6" s="29"/>
    </row>
    <row r="7" spans="1:10" ht="27.75" customHeight="1">
      <c r="A7" s="38" t="s">
        <v>335</v>
      </c>
      <c r="B7" s="20" t="s">
        <v>336</v>
      </c>
      <c r="C7" s="21">
        <f>83605000+107880000</f>
        <v>191485000</v>
      </c>
      <c r="D7" s="334"/>
      <c r="E7" s="336" t="s">
        <v>344</v>
      </c>
      <c r="F7" s="337"/>
      <c r="G7" s="337"/>
      <c r="H7" s="337"/>
      <c r="I7" s="338"/>
      <c r="J7" s="29"/>
    </row>
    <row r="8" spans="1:10">
      <c r="A8" s="38" t="s">
        <v>335</v>
      </c>
      <c r="B8" s="20" t="s">
        <v>337</v>
      </c>
      <c r="C8" s="21">
        <f>9252000+20682000</f>
        <v>29934000</v>
      </c>
      <c r="D8" s="334"/>
      <c r="E8" s="47" t="s">
        <v>13</v>
      </c>
      <c r="F8" s="43"/>
      <c r="G8" s="42"/>
      <c r="H8" s="47" t="s">
        <v>16</v>
      </c>
      <c r="I8" s="42" t="s">
        <v>45</v>
      </c>
      <c r="J8" s="29"/>
    </row>
    <row r="9" spans="1:10">
      <c r="A9" s="38" t="s">
        <v>77</v>
      </c>
      <c r="B9" s="20" t="s">
        <v>80</v>
      </c>
      <c r="C9" s="21">
        <f>5652000+5527000</f>
        <v>11179000</v>
      </c>
      <c r="D9" s="334"/>
      <c r="E9" s="336" t="s">
        <v>344</v>
      </c>
      <c r="F9" s="337"/>
      <c r="G9" s="337"/>
      <c r="H9" s="337"/>
      <c r="I9" s="338"/>
      <c r="J9" s="10"/>
    </row>
    <row r="10" spans="1:10">
      <c r="A10" s="38" t="s">
        <v>77</v>
      </c>
      <c r="B10" s="20" t="s">
        <v>61</v>
      </c>
      <c r="C10" s="21">
        <v>950000</v>
      </c>
      <c r="D10" s="334"/>
      <c r="E10" s="46"/>
      <c r="F10" s="46"/>
      <c r="G10" s="46"/>
      <c r="H10" s="46"/>
      <c r="I10" s="46"/>
      <c r="J10" s="10"/>
    </row>
    <row r="11" spans="1:10">
      <c r="A11" s="38" t="s">
        <v>77</v>
      </c>
      <c r="B11" s="20" t="s">
        <v>340</v>
      </c>
      <c r="C11" s="21">
        <f>1235000+1201000</f>
        <v>2436000</v>
      </c>
      <c r="D11" s="334"/>
      <c r="E11" s="46"/>
      <c r="F11" s="46"/>
      <c r="G11" s="46"/>
      <c r="H11" s="46"/>
      <c r="I11" s="46"/>
      <c r="J11" s="10"/>
    </row>
    <row r="12" spans="1:10">
      <c r="A12" s="10" t="s">
        <v>60</v>
      </c>
      <c r="B12" s="26" t="s">
        <v>76</v>
      </c>
      <c r="C12" s="28">
        <f>+C13+C18</f>
        <v>4201695000</v>
      </c>
      <c r="D12" s="334"/>
      <c r="E12" s="43"/>
      <c r="F12" s="43"/>
      <c r="G12" s="43"/>
      <c r="H12" s="43"/>
      <c r="I12" s="43"/>
      <c r="J12" s="29"/>
    </row>
    <row r="13" spans="1:10" ht="31.5">
      <c r="A13" s="10" t="s">
        <v>78</v>
      </c>
      <c r="B13" s="26" t="s">
        <v>58</v>
      </c>
      <c r="C13" s="28">
        <f>SUM(C14:C17)</f>
        <v>261178000</v>
      </c>
      <c r="D13" s="334"/>
      <c r="E13" s="43"/>
      <c r="F13" s="43"/>
      <c r="G13" s="43"/>
      <c r="H13" s="43"/>
      <c r="I13" s="43"/>
      <c r="J13" s="29"/>
    </row>
    <row r="14" spans="1:10">
      <c r="A14" s="38" t="s">
        <v>77</v>
      </c>
      <c r="B14" s="20" t="s">
        <v>326</v>
      </c>
      <c r="C14" s="219">
        <f>1828000*2</f>
        <v>3656000</v>
      </c>
      <c r="D14" s="334"/>
      <c r="E14" s="43"/>
      <c r="F14" s="43"/>
      <c r="G14" s="43"/>
      <c r="H14" s="43"/>
      <c r="I14" s="43"/>
      <c r="J14" s="29"/>
    </row>
    <row r="15" spans="1:10">
      <c r="A15" s="38" t="s">
        <v>77</v>
      </c>
      <c r="B15" s="20" t="s">
        <v>158</v>
      </c>
      <c r="C15" s="21">
        <v>170680000</v>
      </c>
      <c r="D15" s="334"/>
      <c r="E15" s="46"/>
      <c r="F15" s="46"/>
      <c r="G15" s="46"/>
      <c r="H15" s="46"/>
      <c r="I15" s="46"/>
      <c r="J15" s="329"/>
    </row>
    <row r="16" spans="1:10">
      <c r="A16" s="38" t="s">
        <v>77</v>
      </c>
      <c r="B16" s="20" t="s">
        <v>63</v>
      </c>
      <c r="C16" s="21">
        <v>41800000</v>
      </c>
      <c r="D16" s="334"/>
      <c r="E16" s="46"/>
      <c r="F16" s="46"/>
      <c r="G16" s="46"/>
      <c r="H16" s="46"/>
      <c r="I16" s="46"/>
      <c r="J16" s="329"/>
    </row>
    <row r="17" spans="1:14">
      <c r="A17" s="38" t="s">
        <v>77</v>
      </c>
      <c r="B17" s="20" t="s">
        <v>339</v>
      </c>
      <c r="C17" s="21">
        <f>75070000*0.6</f>
        <v>45042000</v>
      </c>
      <c r="D17" s="334"/>
      <c r="E17" s="47"/>
      <c r="F17" s="47"/>
      <c r="G17" s="42"/>
      <c r="H17" s="47"/>
      <c r="I17" s="42"/>
      <c r="J17" s="30"/>
      <c r="K17" s="40">
        <f>+C17+C20</f>
        <v>75070000</v>
      </c>
    </row>
    <row r="18" spans="1:14">
      <c r="A18" s="10" t="s">
        <v>81</v>
      </c>
      <c r="B18" s="26" t="s">
        <v>59</v>
      </c>
      <c r="C18" s="28">
        <f>ROUND(SUM(C19:C24),-3)</f>
        <v>3940517000</v>
      </c>
      <c r="D18" s="334"/>
      <c r="E18" s="43"/>
      <c r="F18" s="43"/>
      <c r="G18" s="43"/>
      <c r="H18" s="43"/>
      <c r="I18" s="43"/>
      <c r="J18" s="29"/>
    </row>
    <row r="19" spans="1:14" ht="45">
      <c r="A19" s="38" t="s">
        <v>77</v>
      </c>
      <c r="B19" s="20" t="s">
        <v>327</v>
      </c>
      <c r="C19" s="21">
        <f>3655000*2</f>
        <v>7310000</v>
      </c>
      <c r="D19" s="334"/>
      <c r="E19" s="47" t="s">
        <v>13</v>
      </c>
      <c r="F19" s="47"/>
      <c r="G19" s="42" t="s">
        <v>349</v>
      </c>
      <c r="H19" s="47" t="s">
        <v>16</v>
      </c>
      <c r="I19" s="42" t="s">
        <v>45</v>
      </c>
      <c r="J19" s="42" t="s">
        <v>348</v>
      </c>
    </row>
    <row r="20" spans="1:14">
      <c r="A20" s="38" t="s">
        <v>77</v>
      </c>
      <c r="B20" s="20" t="s">
        <v>341</v>
      </c>
      <c r="C20" s="21">
        <f>75070000*0.4</f>
        <v>30028000</v>
      </c>
      <c r="D20" s="334"/>
      <c r="E20" s="47" t="s">
        <v>13</v>
      </c>
      <c r="F20" s="47"/>
      <c r="G20" s="42" t="s">
        <v>346</v>
      </c>
      <c r="H20" s="47" t="s">
        <v>16</v>
      </c>
      <c r="I20" s="42" t="s">
        <v>46</v>
      </c>
      <c r="J20" s="30"/>
      <c r="L20" s="1" t="s">
        <v>342</v>
      </c>
      <c r="M20" s="1" t="s">
        <v>343</v>
      </c>
    </row>
    <row r="21" spans="1:14" ht="77.25" customHeight="1">
      <c r="A21" s="38" t="s">
        <v>77</v>
      </c>
      <c r="B21" s="20" t="s">
        <v>350</v>
      </c>
      <c r="C21" s="23">
        <f>+K21</f>
        <v>1734515434</v>
      </c>
      <c r="D21" s="334"/>
      <c r="E21" s="336" t="s">
        <v>344</v>
      </c>
      <c r="F21" s="337"/>
      <c r="G21" s="337"/>
      <c r="H21" s="337"/>
      <c r="I21" s="338"/>
      <c r="J21" s="153"/>
      <c r="K21" s="1">
        <f>364442107+415472758+338636086+66712000+549252483</f>
        <v>1734515434</v>
      </c>
      <c r="L21" s="24">
        <v>364442107</v>
      </c>
      <c r="M21" s="24">
        <v>281536567</v>
      </c>
    </row>
    <row r="22" spans="1:14" ht="45">
      <c r="A22" s="38"/>
      <c r="B22" s="20" t="s">
        <v>338</v>
      </c>
      <c r="C22" s="23">
        <f>79506000+281536567+211182871+353056303+555473198+586396955</f>
        <v>2067151894</v>
      </c>
      <c r="D22" s="334"/>
      <c r="E22" s="47" t="s">
        <v>347</v>
      </c>
      <c r="F22" s="42" t="s">
        <v>14</v>
      </c>
      <c r="G22" s="42" t="s">
        <v>323</v>
      </c>
      <c r="H22" s="47" t="s">
        <v>16</v>
      </c>
      <c r="I22" s="42" t="s">
        <v>47</v>
      </c>
      <c r="J22" s="36" t="s">
        <v>325</v>
      </c>
      <c r="L22" s="24">
        <v>415472758</v>
      </c>
      <c r="M22" s="24">
        <v>211182871</v>
      </c>
    </row>
    <row r="23" spans="1:14" ht="45">
      <c r="A23" s="38" t="s">
        <v>77</v>
      </c>
      <c r="B23" s="20" t="s">
        <v>69</v>
      </c>
      <c r="C23" s="23">
        <v>93653000</v>
      </c>
      <c r="D23" s="334"/>
      <c r="E23" s="47" t="s">
        <v>13</v>
      </c>
      <c r="F23" s="47"/>
      <c r="G23" s="42" t="s">
        <v>345</v>
      </c>
      <c r="H23" s="47" t="s">
        <v>16</v>
      </c>
      <c r="I23" s="42" t="s">
        <v>348</v>
      </c>
      <c r="J23" s="30"/>
      <c r="L23" s="24">
        <v>338636086</v>
      </c>
      <c r="M23" s="24">
        <v>353056303</v>
      </c>
    </row>
    <row r="24" spans="1:14" ht="45">
      <c r="A24" s="38" t="s">
        <v>77</v>
      </c>
      <c r="B24" s="20" t="s">
        <v>70</v>
      </c>
      <c r="C24" s="23">
        <v>7859000</v>
      </c>
      <c r="D24" s="335"/>
      <c r="E24" s="47" t="s">
        <v>13</v>
      </c>
      <c r="F24" s="47"/>
      <c r="G24" s="42" t="s">
        <v>345</v>
      </c>
      <c r="H24" s="47" t="s">
        <v>16</v>
      </c>
      <c r="I24" s="42" t="s">
        <v>46</v>
      </c>
      <c r="J24" s="29"/>
      <c r="L24" s="24">
        <v>549252483</v>
      </c>
      <c r="M24" s="24">
        <v>555473198</v>
      </c>
    </row>
    <row r="25" spans="1:14">
      <c r="A25" s="10"/>
      <c r="B25" s="26" t="s">
        <v>64</v>
      </c>
      <c r="C25" s="28">
        <f>ROUND((C5+C12),-3)</f>
        <v>4437679000</v>
      </c>
      <c r="D25" s="43"/>
      <c r="E25" s="43"/>
      <c r="F25" s="43"/>
      <c r="G25" s="43"/>
      <c r="H25" s="43"/>
      <c r="I25" s="43"/>
      <c r="J25" s="29"/>
      <c r="M25" s="1">
        <v>586396955</v>
      </c>
    </row>
    <row r="26" spans="1:14">
      <c r="L26" s="24">
        <v>66712000</v>
      </c>
      <c r="M26" s="24">
        <v>79506000</v>
      </c>
      <c r="N26" s="40">
        <f>+L26+M26</f>
        <v>146218000</v>
      </c>
    </row>
    <row r="27" spans="1:14">
      <c r="L27" s="24">
        <f>SUM(L21:L26)</f>
        <v>1734515434</v>
      </c>
      <c r="M27" s="24">
        <f>SUM(M21:M26)</f>
        <v>2067151894</v>
      </c>
    </row>
    <row r="28" spans="1:14">
      <c r="L28" s="24">
        <v>1803896000</v>
      </c>
    </row>
    <row r="29" spans="1:14" ht="16.5">
      <c r="A29" s="330" t="s">
        <v>27</v>
      </c>
      <c r="B29" s="330"/>
      <c r="C29" s="330"/>
      <c r="D29" s="330"/>
      <c r="E29" s="330"/>
      <c r="F29" s="330"/>
      <c r="G29" s="330"/>
      <c r="H29" s="330"/>
      <c r="I29" s="330"/>
      <c r="L29" s="40">
        <f>+L28-L27</f>
        <v>69380566</v>
      </c>
    </row>
    <row r="30" spans="1:14" ht="16.5">
      <c r="A30" s="331" t="s">
        <v>328</v>
      </c>
      <c r="B30" s="331"/>
      <c r="C30" s="331"/>
      <c r="D30" s="331"/>
      <c r="E30" s="331"/>
      <c r="F30" s="331"/>
      <c r="G30" s="331"/>
      <c r="H30" s="331"/>
      <c r="I30" s="331"/>
    </row>
    <row r="31" spans="1:14">
      <c r="H31" s="332"/>
      <c r="I31" s="332"/>
    </row>
    <row r="32" spans="1:14" ht="63">
      <c r="A32" s="10" t="s">
        <v>21</v>
      </c>
      <c r="B32" s="10" t="s">
        <v>0</v>
      </c>
      <c r="C32" s="10" t="s">
        <v>83</v>
      </c>
      <c r="D32" s="10" t="s">
        <v>1</v>
      </c>
      <c r="E32" s="10" t="s">
        <v>2</v>
      </c>
      <c r="F32" s="10" t="s">
        <v>3</v>
      </c>
      <c r="G32" s="10" t="s">
        <v>4</v>
      </c>
      <c r="H32" s="10" t="s">
        <v>5</v>
      </c>
      <c r="I32" s="10" t="s">
        <v>6</v>
      </c>
      <c r="J32" s="10" t="s">
        <v>65</v>
      </c>
    </row>
    <row r="33" spans="1:11">
      <c r="A33" s="10" t="s">
        <v>57</v>
      </c>
      <c r="B33" s="26" t="s">
        <v>75</v>
      </c>
      <c r="C33" s="28">
        <f>SUM(C34:C36)</f>
        <v>62101000</v>
      </c>
      <c r="D33" s="10"/>
      <c r="E33" s="43"/>
      <c r="F33" s="43"/>
      <c r="G33" s="43"/>
      <c r="H33" s="43"/>
      <c r="I33" s="43"/>
      <c r="J33" s="29"/>
    </row>
    <row r="34" spans="1:11" ht="31.5">
      <c r="A34" s="38" t="s">
        <v>77</v>
      </c>
      <c r="B34" s="20" t="s">
        <v>155</v>
      </c>
      <c r="C34" s="23">
        <f>15318000+43356000</f>
        <v>58674000</v>
      </c>
      <c r="D34" s="333" t="s">
        <v>329</v>
      </c>
      <c r="E34" s="47" t="s">
        <v>13</v>
      </c>
      <c r="F34" s="43"/>
      <c r="G34" s="42"/>
      <c r="H34" s="47" t="s">
        <v>16</v>
      </c>
      <c r="I34" s="42" t="s">
        <v>66</v>
      </c>
      <c r="J34" s="29"/>
    </row>
    <row r="35" spans="1:11" ht="31.5">
      <c r="A35" s="38" t="s">
        <v>77</v>
      </c>
      <c r="B35" s="20" t="s">
        <v>80</v>
      </c>
      <c r="C35" s="23">
        <v>3237000</v>
      </c>
      <c r="D35" s="334"/>
      <c r="E35" s="47" t="s">
        <v>13</v>
      </c>
      <c r="F35" s="46"/>
      <c r="G35" s="46"/>
      <c r="H35" s="47" t="s">
        <v>16</v>
      </c>
      <c r="I35" s="42" t="s">
        <v>17</v>
      </c>
      <c r="J35" s="10"/>
    </row>
    <row r="36" spans="1:11">
      <c r="A36" s="38" t="s">
        <v>77</v>
      </c>
      <c r="B36" s="20" t="s">
        <v>61</v>
      </c>
      <c r="C36" s="23">
        <v>190000</v>
      </c>
      <c r="D36" s="334"/>
      <c r="E36" s="46"/>
      <c r="F36" s="46"/>
      <c r="G36" s="46"/>
      <c r="H36" s="46"/>
      <c r="I36" s="46"/>
      <c r="J36" s="10"/>
    </row>
    <row r="37" spans="1:11">
      <c r="A37" s="10" t="s">
        <v>60</v>
      </c>
      <c r="B37" s="26" t="s">
        <v>76</v>
      </c>
      <c r="C37" s="28">
        <f>+C38+C42</f>
        <v>937899000</v>
      </c>
      <c r="D37" s="334"/>
      <c r="E37" s="43"/>
      <c r="F37" s="43"/>
      <c r="G37" s="43"/>
      <c r="H37" s="43"/>
      <c r="I37" s="43"/>
      <c r="J37" s="29"/>
    </row>
    <row r="38" spans="1:11" ht="31.5">
      <c r="A38" s="10" t="s">
        <v>78</v>
      </c>
      <c r="B38" s="26" t="s">
        <v>58</v>
      </c>
      <c r="C38" s="28">
        <f>SUM(C39:C41)</f>
        <v>22487000</v>
      </c>
      <c r="D38" s="334"/>
      <c r="E38" s="43"/>
      <c r="F38" s="43"/>
      <c r="G38" s="43"/>
      <c r="H38" s="43"/>
      <c r="I38" s="43"/>
      <c r="J38" s="29"/>
    </row>
    <row r="39" spans="1:11">
      <c r="A39" s="38" t="s">
        <v>77</v>
      </c>
      <c r="B39" s="20" t="s">
        <v>326</v>
      </c>
      <c r="C39" s="217">
        <v>2000000</v>
      </c>
      <c r="D39" s="334"/>
      <c r="E39" s="43"/>
      <c r="F39" s="43"/>
      <c r="G39" s="43"/>
      <c r="H39" s="43"/>
      <c r="I39" s="43"/>
      <c r="J39" s="29"/>
    </row>
    <row r="40" spans="1:11">
      <c r="A40" s="38" t="s">
        <v>77</v>
      </c>
      <c r="B40" s="20" t="s">
        <v>158</v>
      </c>
      <c r="C40" s="23">
        <v>10987000</v>
      </c>
      <c r="D40" s="334"/>
      <c r="E40" s="46"/>
      <c r="F40" s="46"/>
      <c r="G40" s="46"/>
      <c r="H40" s="46"/>
      <c r="I40" s="46"/>
      <c r="J40" s="329"/>
    </row>
    <row r="41" spans="1:11">
      <c r="A41" s="38" t="s">
        <v>77</v>
      </c>
      <c r="B41" s="20" t="s">
        <v>63</v>
      </c>
      <c r="C41" s="23">
        <v>9500000</v>
      </c>
      <c r="D41" s="334"/>
      <c r="E41" s="46"/>
      <c r="F41" s="46"/>
      <c r="G41" s="46"/>
      <c r="H41" s="46"/>
      <c r="I41" s="46"/>
      <c r="J41" s="329"/>
    </row>
    <row r="42" spans="1:11">
      <c r="A42" s="10" t="s">
        <v>81</v>
      </c>
      <c r="B42" s="26" t="s">
        <v>59</v>
      </c>
      <c r="C42" s="28">
        <f>ROUND(SUM(C43:C47),-3)</f>
        <v>915412000</v>
      </c>
      <c r="D42" s="334"/>
      <c r="E42" s="43"/>
      <c r="F42" s="43"/>
      <c r="G42" s="43"/>
      <c r="H42" s="43"/>
      <c r="I42" s="43"/>
      <c r="J42" s="29"/>
    </row>
    <row r="43" spans="1:11" ht="31.5">
      <c r="A43" s="38" t="s">
        <v>77</v>
      </c>
      <c r="B43" s="20" t="s">
        <v>327</v>
      </c>
      <c r="C43" s="23">
        <f>1289000+1575000</f>
        <v>2864000</v>
      </c>
      <c r="D43" s="334"/>
      <c r="E43" s="47" t="s">
        <v>13</v>
      </c>
      <c r="F43" s="47"/>
      <c r="G43" s="42" t="s">
        <v>283</v>
      </c>
      <c r="H43" s="47" t="s">
        <v>16</v>
      </c>
      <c r="I43" s="42" t="s">
        <v>17</v>
      </c>
      <c r="J43" s="29"/>
      <c r="K43" s="24">
        <v>827832000</v>
      </c>
    </row>
    <row r="44" spans="1:11" ht="30">
      <c r="A44" s="38" t="s">
        <v>77</v>
      </c>
      <c r="B44" s="20" t="s">
        <v>67</v>
      </c>
      <c r="C44" s="23">
        <v>24305000</v>
      </c>
      <c r="D44" s="334"/>
      <c r="E44" s="47" t="s">
        <v>13</v>
      </c>
      <c r="F44" s="47"/>
      <c r="G44" s="42" t="s">
        <v>323</v>
      </c>
      <c r="H44" s="47" t="s">
        <v>16</v>
      </c>
      <c r="I44" s="42" t="s">
        <v>46</v>
      </c>
      <c r="J44" s="30"/>
      <c r="K44" s="24">
        <f>+C44</f>
        <v>24305000</v>
      </c>
    </row>
    <row r="45" spans="1:11" ht="45">
      <c r="A45" s="38" t="s">
        <v>77</v>
      </c>
      <c r="B45" s="20" t="s">
        <v>330</v>
      </c>
      <c r="C45" s="23">
        <f>827832000+32116000</f>
        <v>859948000</v>
      </c>
      <c r="D45" s="334"/>
      <c r="E45" s="47" t="s">
        <v>13</v>
      </c>
      <c r="F45" s="42" t="s">
        <v>14</v>
      </c>
      <c r="G45" s="42" t="s">
        <v>323</v>
      </c>
      <c r="H45" s="47" t="s">
        <v>16</v>
      </c>
      <c r="I45" s="42" t="s">
        <v>157</v>
      </c>
      <c r="J45" s="153" t="s">
        <v>325</v>
      </c>
      <c r="K45" s="24">
        <f>+C34+C35+C39+C43+C46</f>
        <v>93290000</v>
      </c>
    </row>
    <row r="46" spans="1:11" ht="31.5">
      <c r="A46" s="38" t="s">
        <v>77</v>
      </c>
      <c r="B46" s="20" t="s">
        <v>69</v>
      </c>
      <c r="C46" s="23">
        <v>26515000</v>
      </c>
      <c r="D46" s="334"/>
      <c r="E46" s="47" t="s">
        <v>13</v>
      </c>
      <c r="F46" s="47"/>
      <c r="G46" s="42" t="s">
        <v>323</v>
      </c>
      <c r="H46" s="47" t="s">
        <v>16</v>
      </c>
      <c r="I46" s="42" t="s">
        <v>71</v>
      </c>
      <c r="J46" s="30"/>
      <c r="K46" s="24">
        <f>+C41+C47+C36+32116000</f>
        <v>43586000</v>
      </c>
    </row>
    <row r="47" spans="1:11" ht="30">
      <c r="A47" s="38" t="s">
        <v>77</v>
      </c>
      <c r="B47" s="20" t="s">
        <v>70</v>
      </c>
      <c r="C47" s="23">
        <v>1780000</v>
      </c>
      <c r="D47" s="335"/>
      <c r="E47" s="47" t="s">
        <v>13</v>
      </c>
      <c r="F47" s="47"/>
      <c r="G47" s="42" t="s">
        <v>323</v>
      </c>
      <c r="H47" s="47" t="s">
        <v>16</v>
      </c>
      <c r="I47" s="42" t="s">
        <v>46</v>
      </c>
      <c r="J47" s="29"/>
      <c r="K47" s="24">
        <f>+C40</f>
        <v>10987000</v>
      </c>
    </row>
    <row r="48" spans="1:11">
      <c r="A48" s="10"/>
      <c r="B48" s="26" t="s">
        <v>64</v>
      </c>
      <c r="C48" s="28">
        <f>ROUND((C33+C37),-3)</f>
        <v>1000000000</v>
      </c>
      <c r="D48" s="43"/>
      <c r="E48" s="43"/>
      <c r="F48" s="43"/>
      <c r="G48" s="43"/>
      <c r="H48" s="43"/>
      <c r="I48" s="43"/>
      <c r="J48" s="29"/>
      <c r="K48" s="24">
        <f>SUM(K43:K47)</f>
        <v>1000000000</v>
      </c>
    </row>
    <row r="63" spans="5:5">
      <c r="E63" s="1">
        <v>1028</v>
      </c>
    </row>
    <row r="64" spans="5:5">
      <c r="E64" s="1">
        <v>1162</v>
      </c>
    </row>
    <row r="65" spans="5:5">
      <c r="E65" s="1">
        <f>+E63-E64</f>
        <v>-134</v>
      </c>
    </row>
  </sheetData>
  <mergeCells count="13">
    <mergeCell ref="A1:I1"/>
    <mergeCell ref="A2:I2"/>
    <mergeCell ref="H3:I3"/>
    <mergeCell ref="D6:D24"/>
    <mergeCell ref="D34:D47"/>
    <mergeCell ref="J40:J41"/>
    <mergeCell ref="E7:I7"/>
    <mergeCell ref="E9:I9"/>
    <mergeCell ref="E21:I21"/>
    <mergeCell ref="J15:J16"/>
    <mergeCell ref="A29:I29"/>
    <mergeCell ref="A30:I30"/>
    <mergeCell ref="H31:I31"/>
  </mergeCells>
  <phoneticPr fontId="4"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7" workbookViewId="0">
      <selection activeCell="A7" sqref="A1:IV65536"/>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331</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SUM(C6:C8)</f>
        <v>37037000</v>
      </c>
      <c r="D5" s="10"/>
      <c r="E5" s="43"/>
      <c r="F5" s="43"/>
      <c r="G5" s="43"/>
      <c r="H5" s="43"/>
      <c r="I5" s="43"/>
      <c r="J5" s="29"/>
    </row>
    <row r="6" spans="1:10" ht="31.5">
      <c r="A6" s="37" t="s">
        <v>77</v>
      </c>
      <c r="B6" s="31" t="s">
        <v>155</v>
      </c>
      <c r="C6" s="21">
        <f>15247000+20196000</f>
        <v>35443000</v>
      </c>
      <c r="D6" s="333" t="s">
        <v>329</v>
      </c>
      <c r="E6" s="44" t="s">
        <v>13</v>
      </c>
      <c r="F6" s="43"/>
      <c r="G6" s="45"/>
      <c r="H6" s="44" t="s">
        <v>16</v>
      </c>
      <c r="I6" s="45" t="s">
        <v>66</v>
      </c>
      <c r="J6" s="32"/>
    </row>
    <row r="7" spans="1:10">
      <c r="A7" s="37" t="s">
        <v>77</v>
      </c>
      <c r="B7" s="20" t="s">
        <v>80</v>
      </c>
      <c r="C7" s="21">
        <v>1508000</v>
      </c>
      <c r="D7" s="334"/>
      <c r="E7" s="44" t="s">
        <v>13</v>
      </c>
      <c r="F7" s="46"/>
      <c r="G7" s="46"/>
      <c r="H7" s="44" t="s">
        <v>16</v>
      </c>
      <c r="I7" s="45" t="s">
        <v>17</v>
      </c>
      <c r="J7" s="10"/>
    </row>
    <row r="8" spans="1:10">
      <c r="A8" s="37" t="s">
        <v>77</v>
      </c>
      <c r="B8" s="20" t="s">
        <v>61</v>
      </c>
      <c r="C8" s="21">
        <v>86000</v>
      </c>
      <c r="D8" s="334"/>
      <c r="E8" s="46"/>
      <c r="F8" s="46"/>
      <c r="G8" s="46"/>
      <c r="H8" s="46"/>
      <c r="I8" s="46"/>
      <c r="J8" s="10"/>
    </row>
    <row r="9" spans="1:10">
      <c r="A9" s="10" t="s">
        <v>60</v>
      </c>
      <c r="B9" s="26" t="s">
        <v>76</v>
      </c>
      <c r="C9" s="28">
        <f>+C10+C14</f>
        <v>412963000</v>
      </c>
      <c r="D9" s="334"/>
      <c r="E9" s="43"/>
      <c r="F9" s="43"/>
      <c r="G9" s="43"/>
      <c r="H9" s="43"/>
      <c r="I9" s="43"/>
      <c r="J9" s="29"/>
    </row>
    <row r="10" spans="1:10" ht="31.5">
      <c r="A10" s="10" t="s">
        <v>78</v>
      </c>
      <c r="B10" s="26" t="s">
        <v>58</v>
      </c>
      <c r="C10" s="28">
        <f>SUM(C11:C13)</f>
        <v>14914000</v>
      </c>
      <c r="D10" s="334"/>
      <c r="E10" s="43"/>
      <c r="F10" s="43"/>
      <c r="G10" s="43"/>
      <c r="H10" s="43"/>
      <c r="I10" s="43"/>
      <c r="J10" s="29"/>
    </row>
    <row r="11" spans="1:10">
      <c r="A11" s="38" t="s">
        <v>77</v>
      </c>
      <c r="B11" s="20" t="s">
        <v>142</v>
      </c>
      <c r="C11" s="217">
        <v>9984000</v>
      </c>
      <c r="D11" s="334"/>
      <c r="E11" s="43"/>
      <c r="F11" s="43"/>
      <c r="G11" s="43"/>
      <c r="H11" s="43"/>
      <c r="I11" s="43"/>
      <c r="J11" s="29"/>
    </row>
    <row r="12" spans="1:10">
      <c r="A12" s="38" t="s">
        <v>77</v>
      </c>
      <c r="B12" s="20" t="s">
        <v>158</v>
      </c>
      <c r="C12" s="21">
        <v>655000</v>
      </c>
      <c r="D12" s="334"/>
      <c r="E12" s="46"/>
      <c r="F12" s="46"/>
      <c r="G12" s="46"/>
      <c r="H12" s="46"/>
      <c r="I12" s="46"/>
      <c r="J12" s="329"/>
    </row>
    <row r="13" spans="1:10">
      <c r="A13" s="38" t="s">
        <v>77</v>
      </c>
      <c r="B13" s="20" t="s">
        <v>63</v>
      </c>
      <c r="C13" s="21">
        <v>4275000</v>
      </c>
      <c r="D13" s="334"/>
      <c r="E13" s="46"/>
      <c r="F13" s="46"/>
      <c r="G13" s="46"/>
      <c r="H13" s="46"/>
      <c r="I13" s="46"/>
      <c r="J13" s="329"/>
    </row>
    <row r="14" spans="1:10">
      <c r="A14" s="10" t="s">
        <v>81</v>
      </c>
      <c r="B14" s="26" t="s">
        <v>59</v>
      </c>
      <c r="C14" s="28">
        <f>ROUND(SUM(C15:C17),-3)</f>
        <v>398049000</v>
      </c>
      <c r="D14" s="334"/>
      <c r="E14" s="43"/>
      <c r="F14" s="43"/>
      <c r="G14" s="43"/>
      <c r="H14" s="43"/>
      <c r="I14" s="43"/>
      <c r="J14" s="29"/>
    </row>
    <row r="15" spans="1:10" ht="45">
      <c r="A15" s="37" t="s">
        <v>77</v>
      </c>
      <c r="B15" s="31" t="s">
        <v>332</v>
      </c>
      <c r="C15" s="21">
        <f>374044000+11220000</f>
        <v>385264000</v>
      </c>
      <c r="D15" s="334"/>
      <c r="E15" s="44" t="s">
        <v>13</v>
      </c>
      <c r="F15" s="42" t="s">
        <v>14</v>
      </c>
      <c r="G15" s="45" t="s">
        <v>323</v>
      </c>
      <c r="H15" s="44" t="s">
        <v>16</v>
      </c>
      <c r="I15" s="116" t="s">
        <v>37</v>
      </c>
      <c r="J15" s="36" t="s">
        <v>325</v>
      </c>
    </row>
    <row r="16" spans="1:10" ht="31.5">
      <c r="A16" s="37" t="s">
        <v>77</v>
      </c>
      <c r="B16" s="20" t="s">
        <v>33</v>
      </c>
      <c r="C16" s="23">
        <v>11981000</v>
      </c>
      <c r="D16" s="334"/>
      <c r="E16" s="47" t="s">
        <v>13</v>
      </c>
      <c r="F16" s="47"/>
      <c r="G16" s="45" t="s">
        <v>323</v>
      </c>
      <c r="H16" s="47" t="s">
        <v>16</v>
      </c>
      <c r="I16" s="42" t="s">
        <v>156</v>
      </c>
      <c r="J16" s="30"/>
    </row>
    <row r="17" spans="1:10" ht="30">
      <c r="A17" s="37" t="s">
        <v>77</v>
      </c>
      <c r="B17" s="20" t="s">
        <v>34</v>
      </c>
      <c r="C17" s="23">
        <v>804000</v>
      </c>
      <c r="D17" s="335"/>
      <c r="E17" s="47" t="s">
        <v>13</v>
      </c>
      <c r="F17" s="47"/>
      <c r="G17" s="45" t="s">
        <v>323</v>
      </c>
      <c r="H17" s="47" t="s">
        <v>16</v>
      </c>
      <c r="I17" s="42" t="s">
        <v>46</v>
      </c>
      <c r="J17" s="29"/>
    </row>
    <row r="18" spans="1:10">
      <c r="A18" s="10"/>
      <c r="B18" s="26" t="s">
        <v>64</v>
      </c>
      <c r="C18" s="28">
        <f>ROUND((C5+C9),-3)</f>
        <v>450000000</v>
      </c>
      <c r="D18" s="43"/>
      <c r="E18" s="43"/>
      <c r="F18" s="43"/>
      <c r="G18" s="43"/>
      <c r="H18" s="43"/>
      <c r="I18" s="43"/>
      <c r="J18" s="29"/>
    </row>
    <row r="22" spans="1:10" ht="16.5">
      <c r="A22" s="330" t="s">
        <v>27</v>
      </c>
      <c r="B22" s="330"/>
      <c r="C22" s="330"/>
      <c r="D22" s="330"/>
      <c r="E22" s="330"/>
      <c r="F22" s="330"/>
      <c r="G22" s="330"/>
      <c r="H22" s="330"/>
      <c r="I22" s="330"/>
    </row>
    <row r="23" spans="1:10" ht="16.5">
      <c r="A23" s="331" t="s">
        <v>333</v>
      </c>
      <c r="B23" s="331"/>
      <c r="C23" s="331"/>
      <c r="D23" s="331"/>
      <c r="E23" s="331"/>
      <c r="F23" s="331"/>
      <c r="G23" s="331"/>
      <c r="H23" s="331"/>
      <c r="I23" s="331"/>
    </row>
    <row r="24" spans="1:10">
      <c r="H24" s="332"/>
      <c r="I24" s="332"/>
    </row>
    <row r="25" spans="1:10" ht="63">
      <c r="A25" s="10" t="s">
        <v>21</v>
      </c>
      <c r="B25" s="10" t="s">
        <v>0</v>
      </c>
      <c r="C25" s="10" t="s">
        <v>83</v>
      </c>
      <c r="D25" s="10" t="s">
        <v>1</v>
      </c>
      <c r="E25" s="10" t="s">
        <v>2</v>
      </c>
      <c r="F25" s="10" t="s">
        <v>3</v>
      </c>
      <c r="G25" s="10" t="s">
        <v>4</v>
      </c>
      <c r="H25" s="10" t="s">
        <v>5</v>
      </c>
      <c r="I25" s="10" t="s">
        <v>6</v>
      </c>
      <c r="J25" s="10" t="s">
        <v>65</v>
      </c>
    </row>
    <row r="26" spans="1:10">
      <c r="A26" s="10" t="s">
        <v>57</v>
      </c>
      <c r="B26" s="26" t="s">
        <v>75</v>
      </c>
      <c r="C26" s="28">
        <f>SUM(C27:C29)</f>
        <v>37037000</v>
      </c>
      <c r="D26" s="10"/>
      <c r="E26" s="43"/>
      <c r="F26" s="43"/>
      <c r="G26" s="43"/>
      <c r="H26" s="43"/>
      <c r="I26" s="43"/>
      <c r="J26" s="29"/>
    </row>
    <row r="27" spans="1:10" ht="31.5">
      <c r="A27" s="37" t="s">
        <v>77</v>
      </c>
      <c r="B27" s="31" t="s">
        <v>155</v>
      </c>
      <c r="C27" s="21">
        <f>15247000+20196000</f>
        <v>35443000</v>
      </c>
      <c r="D27" s="333" t="s">
        <v>329</v>
      </c>
      <c r="E27" s="44" t="s">
        <v>13</v>
      </c>
      <c r="F27" s="43"/>
      <c r="G27" s="45"/>
      <c r="H27" s="44" t="s">
        <v>16</v>
      </c>
      <c r="I27" s="45" t="s">
        <v>66</v>
      </c>
      <c r="J27" s="32"/>
    </row>
    <row r="28" spans="1:10">
      <c r="A28" s="37" t="s">
        <v>77</v>
      </c>
      <c r="B28" s="20" t="s">
        <v>80</v>
      </c>
      <c r="C28" s="21">
        <v>1508000</v>
      </c>
      <c r="D28" s="334"/>
      <c r="E28" s="44" t="s">
        <v>13</v>
      </c>
      <c r="F28" s="46"/>
      <c r="G28" s="46"/>
      <c r="H28" s="44" t="s">
        <v>16</v>
      </c>
      <c r="I28" s="45" t="s">
        <v>17</v>
      </c>
      <c r="J28" s="10"/>
    </row>
    <row r="29" spans="1:10">
      <c r="A29" s="37" t="s">
        <v>77</v>
      </c>
      <c r="B29" s="20" t="s">
        <v>61</v>
      </c>
      <c r="C29" s="21">
        <v>86000</v>
      </c>
      <c r="D29" s="334"/>
      <c r="E29" s="46"/>
      <c r="F29" s="46"/>
      <c r="G29" s="46"/>
      <c r="H29" s="46"/>
      <c r="I29" s="46"/>
      <c r="J29" s="10"/>
    </row>
    <row r="30" spans="1:10">
      <c r="A30" s="10" t="s">
        <v>60</v>
      </c>
      <c r="B30" s="26" t="s">
        <v>76</v>
      </c>
      <c r="C30" s="28">
        <f>+C31+C35</f>
        <v>412963000</v>
      </c>
      <c r="D30" s="334"/>
      <c r="E30" s="43"/>
      <c r="F30" s="43"/>
      <c r="G30" s="43"/>
      <c r="H30" s="43"/>
      <c r="I30" s="43"/>
      <c r="J30" s="29"/>
    </row>
    <row r="31" spans="1:10" ht="31.5">
      <c r="A31" s="10" t="s">
        <v>78</v>
      </c>
      <c r="B31" s="26" t="s">
        <v>58</v>
      </c>
      <c r="C31" s="28">
        <f>SUM(C32:C34)</f>
        <v>14914000</v>
      </c>
      <c r="D31" s="334"/>
      <c r="E31" s="43"/>
      <c r="F31" s="43"/>
      <c r="G31" s="43"/>
      <c r="H31" s="43"/>
      <c r="I31" s="43"/>
      <c r="J31" s="29"/>
    </row>
    <row r="32" spans="1:10">
      <c r="A32" s="38" t="s">
        <v>77</v>
      </c>
      <c r="B32" s="20" t="s">
        <v>142</v>
      </c>
      <c r="C32" s="217">
        <v>9984000</v>
      </c>
      <c r="D32" s="334"/>
      <c r="E32" s="43"/>
      <c r="F32" s="43"/>
      <c r="G32" s="43"/>
      <c r="H32" s="43"/>
      <c r="I32" s="43"/>
      <c r="J32" s="29"/>
    </row>
    <row r="33" spans="1:10">
      <c r="A33" s="38" t="s">
        <v>77</v>
      </c>
      <c r="B33" s="20" t="s">
        <v>158</v>
      </c>
      <c r="C33" s="21">
        <v>655000</v>
      </c>
      <c r="D33" s="334"/>
      <c r="E33" s="46"/>
      <c r="F33" s="46"/>
      <c r="G33" s="46"/>
      <c r="H33" s="46"/>
      <c r="I33" s="46"/>
      <c r="J33" s="329"/>
    </row>
    <row r="34" spans="1:10">
      <c r="A34" s="38" t="s">
        <v>77</v>
      </c>
      <c r="B34" s="20" t="s">
        <v>63</v>
      </c>
      <c r="C34" s="21">
        <v>4275000</v>
      </c>
      <c r="D34" s="334"/>
      <c r="E34" s="46"/>
      <c r="F34" s="46"/>
      <c r="G34" s="46"/>
      <c r="H34" s="46"/>
      <c r="I34" s="46"/>
      <c r="J34" s="329"/>
    </row>
    <row r="35" spans="1:10">
      <c r="A35" s="10" t="s">
        <v>81</v>
      </c>
      <c r="B35" s="26" t="s">
        <v>59</v>
      </c>
      <c r="C35" s="28">
        <f>ROUND(SUM(C36:C38),-3)</f>
        <v>398049000</v>
      </c>
      <c r="D35" s="334"/>
      <c r="E35" s="43"/>
      <c r="F35" s="43"/>
      <c r="G35" s="43"/>
      <c r="H35" s="43"/>
      <c r="I35" s="43"/>
      <c r="J35" s="29"/>
    </row>
    <row r="36" spans="1:10" ht="45">
      <c r="A36" s="37" t="s">
        <v>77</v>
      </c>
      <c r="B36" s="31" t="s">
        <v>332</v>
      </c>
      <c r="C36" s="21">
        <f>374044000+11220000</f>
        <v>385264000</v>
      </c>
      <c r="D36" s="334"/>
      <c r="E36" s="44" t="s">
        <v>13</v>
      </c>
      <c r="F36" s="42" t="s">
        <v>14</v>
      </c>
      <c r="G36" s="45" t="s">
        <v>323</v>
      </c>
      <c r="H36" s="44" t="s">
        <v>16</v>
      </c>
      <c r="I36" s="116" t="s">
        <v>37</v>
      </c>
      <c r="J36" s="36" t="s">
        <v>325</v>
      </c>
    </row>
    <row r="37" spans="1:10" ht="31.5">
      <c r="A37" s="37" t="s">
        <v>77</v>
      </c>
      <c r="B37" s="20" t="s">
        <v>33</v>
      </c>
      <c r="C37" s="23">
        <v>11981000</v>
      </c>
      <c r="D37" s="334"/>
      <c r="E37" s="47" t="s">
        <v>13</v>
      </c>
      <c r="F37" s="47"/>
      <c r="G37" s="45" t="s">
        <v>323</v>
      </c>
      <c r="H37" s="47" t="s">
        <v>16</v>
      </c>
      <c r="I37" s="42" t="s">
        <v>156</v>
      </c>
      <c r="J37" s="30"/>
    </row>
    <row r="38" spans="1:10" ht="30">
      <c r="A38" s="37" t="s">
        <v>77</v>
      </c>
      <c r="B38" s="20" t="s">
        <v>34</v>
      </c>
      <c r="C38" s="23">
        <v>804000</v>
      </c>
      <c r="D38" s="335"/>
      <c r="E38" s="47" t="s">
        <v>13</v>
      </c>
      <c r="F38" s="47"/>
      <c r="G38" s="45" t="s">
        <v>323</v>
      </c>
      <c r="H38" s="47" t="s">
        <v>16</v>
      </c>
      <c r="I38" s="42" t="s">
        <v>46</v>
      </c>
      <c r="J38" s="29"/>
    </row>
    <row r="39" spans="1:10">
      <c r="A39" s="10"/>
      <c r="B39" s="26" t="s">
        <v>64</v>
      </c>
      <c r="C39" s="28">
        <f>ROUND((C26+C30),-3)</f>
        <v>450000000</v>
      </c>
      <c r="D39" s="43"/>
      <c r="E39" s="43"/>
      <c r="F39" s="43"/>
      <c r="G39" s="43"/>
      <c r="H39" s="43"/>
      <c r="I39" s="43"/>
      <c r="J39" s="29"/>
    </row>
    <row r="40" spans="1:10">
      <c r="E40" s="1">
        <v>1162</v>
      </c>
    </row>
    <row r="41" spans="1:10">
      <c r="E41" s="1">
        <f>+E39-E40</f>
        <v>-1162</v>
      </c>
    </row>
  </sheetData>
  <mergeCells count="10">
    <mergeCell ref="A1:I1"/>
    <mergeCell ref="A2:I2"/>
    <mergeCell ref="H3:I3"/>
    <mergeCell ref="D6:D17"/>
    <mergeCell ref="J33:J34"/>
    <mergeCell ref="D27:D38"/>
    <mergeCell ref="J12:J13"/>
    <mergeCell ref="A22:I22"/>
    <mergeCell ref="A23:I23"/>
    <mergeCell ref="H24:I24"/>
  </mergeCells>
  <phoneticPr fontId="4"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5" workbookViewId="0">
      <selection activeCell="J40" sqref="J40"/>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324</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SUM(C6:C8)</f>
        <v>62101000</v>
      </c>
      <c r="D5" s="10"/>
      <c r="E5" s="43"/>
      <c r="F5" s="43"/>
      <c r="G5" s="43"/>
      <c r="H5" s="43"/>
      <c r="I5" s="43"/>
      <c r="J5" s="29"/>
    </row>
    <row r="6" spans="1:10" ht="31.5">
      <c r="A6" s="37" t="s">
        <v>77</v>
      </c>
      <c r="B6" s="31" t="s">
        <v>155</v>
      </c>
      <c r="C6" s="21">
        <f>15318000+43356000</f>
        <v>58674000</v>
      </c>
      <c r="D6" s="333" t="s">
        <v>329</v>
      </c>
      <c r="E6" s="44" t="s">
        <v>13</v>
      </c>
      <c r="F6" s="43"/>
      <c r="G6" s="45"/>
      <c r="H6" s="44" t="s">
        <v>16</v>
      </c>
      <c r="I6" s="45" t="s">
        <v>66</v>
      </c>
      <c r="J6" s="32"/>
    </row>
    <row r="7" spans="1:10">
      <c r="A7" s="37" t="s">
        <v>77</v>
      </c>
      <c r="B7" s="20" t="s">
        <v>80</v>
      </c>
      <c r="C7" s="21">
        <v>3237000</v>
      </c>
      <c r="D7" s="334"/>
      <c r="E7" s="44" t="s">
        <v>13</v>
      </c>
      <c r="F7" s="46"/>
      <c r="G7" s="46"/>
      <c r="H7" s="44" t="s">
        <v>16</v>
      </c>
      <c r="I7" s="45" t="s">
        <v>17</v>
      </c>
      <c r="J7" s="10"/>
    </row>
    <row r="8" spans="1:10">
      <c r="A8" s="37" t="s">
        <v>77</v>
      </c>
      <c r="B8" s="20" t="s">
        <v>61</v>
      </c>
      <c r="C8" s="21">
        <v>190000</v>
      </c>
      <c r="D8" s="334"/>
      <c r="E8" s="46"/>
      <c r="F8" s="46"/>
      <c r="G8" s="46"/>
      <c r="H8" s="46"/>
      <c r="I8" s="46"/>
      <c r="J8" s="10"/>
    </row>
    <row r="9" spans="1:10">
      <c r="A9" s="10" t="s">
        <v>60</v>
      </c>
      <c r="B9" s="26" t="s">
        <v>76</v>
      </c>
      <c r="C9" s="28">
        <f>+C10+C14</f>
        <v>937899000</v>
      </c>
      <c r="D9" s="334"/>
      <c r="E9" s="43"/>
      <c r="F9" s="43"/>
      <c r="G9" s="43"/>
      <c r="H9" s="43"/>
      <c r="I9" s="43"/>
      <c r="J9" s="29"/>
    </row>
    <row r="10" spans="1:10" ht="31.5">
      <c r="A10" s="10" t="s">
        <v>78</v>
      </c>
      <c r="B10" s="26" t="s">
        <v>58</v>
      </c>
      <c r="C10" s="28">
        <f>SUM(C11:C13)</f>
        <v>22487000</v>
      </c>
      <c r="D10" s="334"/>
      <c r="E10" s="43"/>
      <c r="F10" s="43"/>
      <c r="G10" s="43"/>
      <c r="H10" s="43"/>
      <c r="I10" s="43"/>
      <c r="J10" s="29"/>
    </row>
    <row r="11" spans="1:10">
      <c r="A11" s="38" t="s">
        <v>77</v>
      </c>
      <c r="B11" s="20" t="s">
        <v>326</v>
      </c>
      <c r="C11" s="217">
        <v>2000000</v>
      </c>
      <c r="D11" s="334"/>
      <c r="E11" s="43"/>
      <c r="F11" s="43"/>
      <c r="G11" s="43"/>
      <c r="H11" s="43"/>
      <c r="I11" s="43"/>
      <c r="J11" s="29"/>
    </row>
    <row r="12" spans="1:10">
      <c r="A12" s="38" t="s">
        <v>77</v>
      </c>
      <c r="B12" s="20" t="s">
        <v>158</v>
      </c>
      <c r="C12" s="21">
        <v>10987000</v>
      </c>
      <c r="D12" s="334"/>
      <c r="E12" s="46"/>
      <c r="F12" s="46"/>
      <c r="G12" s="46"/>
      <c r="H12" s="46"/>
      <c r="I12" s="46"/>
      <c r="J12" s="329"/>
    </row>
    <row r="13" spans="1:10">
      <c r="A13" s="38" t="s">
        <v>77</v>
      </c>
      <c r="B13" s="20" t="s">
        <v>63</v>
      </c>
      <c r="C13" s="21">
        <v>9500000</v>
      </c>
      <c r="D13" s="334"/>
      <c r="E13" s="46"/>
      <c r="F13" s="46"/>
      <c r="G13" s="46"/>
      <c r="H13" s="46"/>
      <c r="I13" s="46"/>
      <c r="J13" s="329"/>
    </row>
    <row r="14" spans="1:10">
      <c r="A14" s="10" t="s">
        <v>81</v>
      </c>
      <c r="B14" s="26" t="s">
        <v>59</v>
      </c>
      <c r="C14" s="28">
        <f>ROUND(SUM(C15:C19),-3)</f>
        <v>915412000</v>
      </c>
      <c r="D14" s="334"/>
      <c r="E14" s="43"/>
      <c r="F14" s="43"/>
      <c r="G14" s="43"/>
      <c r="H14" s="43"/>
      <c r="I14" s="43"/>
      <c r="J14" s="29"/>
    </row>
    <row r="15" spans="1:10" ht="31.5">
      <c r="A15" s="37" t="s">
        <v>77</v>
      </c>
      <c r="B15" s="31" t="s">
        <v>327</v>
      </c>
      <c r="C15" s="21">
        <f>1289000+1575000</f>
        <v>2864000</v>
      </c>
      <c r="D15" s="334"/>
      <c r="E15" s="44" t="s">
        <v>13</v>
      </c>
      <c r="F15" s="47"/>
      <c r="G15" s="45" t="s">
        <v>323</v>
      </c>
      <c r="H15" s="44" t="s">
        <v>16</v>
      </c>
      <c r="I15" s="45" t="s">
        <v>17</v>
      </c>
      <c r="J15" s="32"/>
    </row>
    <row r="16" spans="1:10" ht="30">
      <c r="A16" s="37" t="s">
        <v>77</v>
      </c>
      <c r="B16" s="31" t="s">
        <v>67</v>
      </c>
      <c r="C16" s="21">
        <v>24305000</v>
      </c>
      <c r="D16" s="334"/>
      <c r="E16" s="44" t="s">
        <v>13</v>
      </c>
      <c r="F16" s="47"/>
      <c r="G16" s="45" t="s">
        <v>323</v>
      </c>
      <c r="H16" s="44" t="s">
        <v>16</v>
      </c>
      <c r="I16" s="45" t="s">
        <v>46</v>
      </c>
      <c r="J16" s="34"/>
    </row>
    <row r="17" spans="1:10" ht="45">
      <c r="A17" s="37" t="s">
        <v>77</v>
      </c>
      <c r="B17" s="31" t="s">
        <v>330</v>
      </c>
      <c r="C17" s="21">
        <f>827832000+32116000</f>
        <v>859948000</v>
      </c>
      <c r="D17" s="334"/>
      <c r="E17" s="44" t="s">
        <v>13</v>
      </c>
      <c r="F17" s="42" t="s">
        <v>14</v>
      </c>
      <c r="G17" s="45" t="s">
        <v>323</v>
      </c>
      <c r="H17" s="44" t="s">
        <v>16</v>
      </c>
      <c r="I17" s="116" t="s">
        <v>157</v>
      </c>
      <c r="J17" s="36" t="s">
        <v>325</v>
      </c>
    </row>
    <row r="18" spans="1:10" ht="31.5">
      <c r="A18" s="37" t="s">
        <v>77</v>
      </c>
      <c r="B18" s="20" t="s">
        <v>69</v>
      </c>
      <c r="C18" s="23">
        <v>26515000</v>
      </c>
      <c r="D18" s="334"/>
      <c r="E18" s="47" t="s">
        <v>13</v>
      </c>
      <c r="F18" s="47"/>
      <c r="G18" s="45" t="s">
        <v>323</v>
      </c>
      <c r="H18" s="47" t="s">
        <v>16</v>
      </c>
      <c r="I18" s="42" t="s">
        <v>71</v>
      </c>
      <c r="J18" s="30"/>
    </row>
    <row r="19" spans="1:10" ht="30">
      <c r="A19" s="37" t="s">
        <v>77</v>
      </c>
      <c r="B19" s="20" t="s">
        <v>70</v>
      </c>
      <c r="C19" s="23">
        <v>1780000</v>
      </c>
      <c r="D19" s="335"/>
      <c r="E19" s="47" t="s">
        <v>13</v>
      </c>
      <c r="F19" s="47"/>
      <c r="G19" s="45" t="s">
        <v>323</v>
      </c>
      <c r="H19" s="47" t="s">
        <v>16</v>
      </c>
      <c r="I19" s="42" t="s">
        <v>46</v>
      </c>
      <c r="J19" s="29"/>
    </row>
    <row r="20" spans="1:10">
      <c r="A20" s="10"/>
      <c r="B20" s="26" t="s">
        <v>64</v>
      </c>
      <c r="C20" s="28">
        <f>ROUND((C5+C9),-3)</f>
        <v>1000000000</v>
      </c>
      <c r="D20" s="43"/>
      <c r="E20" s="43"/>
      <c r="F20" s="43"/>
      <c r="G20" s="43"/>
      <c r="H20" s="43"/>
      <c r="I20" s="43"/>
      <c r="J20" s="29"/>
    </row>
    <row r="24" spans="1:10" ht="16.5">
      <c r="A24" s="330" t="s">
        <v>27</v>
      </c>
      <c r="B24" s="330"/>
      <c r="C24" s="330"/>
      <c r="D24" s="330"/>
      <c r="E24" s="330"/>
      <c r="F24" s="330"/>
      <c r="G24" s="330"/>
      <c r="H24" s="330"/>
      <c r="I24" s="330"/>
    </row>
    <row r="25" spans="1:10" ht="16.5">
      <c r="A25" s="331" t="s">
        <v>328</v>
      </c>
      <c r="B25" s="331"/>
      <c r="C25" s="331"/>
      <c r="D25" s="331"/>
      <c r="E25" s="331"/>
      <c r="F25" s="331"/>
      <c r="G25" s="331"/>
      <c r="H25" s="331"/>
      <c r="I25" s="331"/>
    </row>
    <row r="26" spans="1:10">
      <c r="H26" s="332"/>
      <c r="I26" s="332"/>
    </row>
    <row r="27" spans="1:10" ht="63">
      <c r="A27" s="10" t="s">
        <v>21</v>
      </c>
      <c r="B27" s="10" t="s">
        <v>0</v>
      </c>
      <c r="C27" s="10" t="s">
        <v>83</v>
      </c>
      <c r="D27" s="10" t="s">
        <v>1</v>
      </c>
      <c r="E27" s="10" t="s">
        <v>2</v>
      </c>
      <c r="F27" s="10" t="s">
        <v>3</v>
      </c>
      <c r="G27" s="10" t="s">
        <v>4</v>
      </c>
      <c r="H27" s="10" t="s">
        <v>5</v>
      </c>
      <c r="I27" s="10" t="s">
        <v>6</v>
      </c>
      <c r="J27" s="10" t="s">
        <v>65</v>
      </c>
    </row>
    <row r="28" spans="1:10">
      <c r="A28" s="10" t="s">
        <v>57</v>
      </c>
      <c r="B28" s="26" t="s">
        <v>75</v>
      </c>
      <c r="C28" s="28">
        <f>SUM(C29:C31)</f>
        <v>62101000</v>
      </c>
      <c r="D28" s="10"/>
      <c r="E28" s="43"/>
      <c r="F28" s="43"/>
      <c r="G28" s="43"/>
      <c r="H28" s="43"/>
      <c r="I28" s="43"/>
      <c r="J28" s="29"/>
    </row>
    <row r="29" spans="1:10" ht="31.5">
      <c r="A29" s="37" t="s">
        <v>77</v>
      </c>
      <c r="B29" s="31" t="s">
        <v>155</v>
      </c>
      <c r="C29" s="21">
        <f>15318000+43356000</f>
        <v>58674000</v>
      </c>
      <c r="D29" s="333" t="s">
        <v>329</v>
      </c>
      <c r="E29" s="44" t="s">
        <v>13</v>
      </c>
      <c r="F29" s="43"/>
      <c r="G29" s="45"/>
      <c r="H29" s="44" t="s">
        <v>16</v>
      </c>
      <c r="I29" s="45" t="s">
        <v>66</v>
      </c>
      <c r="J29" s="32"/>
    </row>
    <row r="30" spans="1:10">
      <c r="A30" s="37" t="s">
        <v>77</v>
      </c>
      <c r="B30" s="20" t="s">
        <v>80</v>
      </c>
      <c r="C30" s="21">
        <v>3237000</v>
      </c>
      <c r="D30" s="334"/>
      <c r="E30" s="44" t="s">
        <v>13</v>
      </c>
      <c r="F30" s="46"/>
      <c r="G30" s="46"/>
      <c r="H30" s="44" t="s">
        <v>16</v>
      </c>
      <c r="I30" s="45" t="s">
        <v>17</v>
      </c>
      <c r="J30" s="10"/>
    </row>
    <row r="31" spans="1:10">
      <c r="A31" s="37" t="s">
        <v>77</v>
      </c>
      <c r="B31" s="20" t="s">
        <v>61</v>
      </c>
      <c r="C31" s="21">
        <v>190000</v>
      </c>
      <c r="D31" s="334"/>
      <c r="E31" s="46"/>
      <c r="F31" s="46"/>
      <c r="G31" s="46"/>
      <c r="H31" s="46"/>
      <c r="I31" s="46"/>
      <c r="J31" s="10"/>
    </row>
    <row r="32" spans="1:10">
      <c r="A32" s="10" t="s">
        <v>60</v>
      </c>
      <c r="B32" s="26" t="s">
        <v>76</v>
      </c>
      <c r="C32" s="28">
        <f>+C33+C37</f>
        <v>937899000</v>
      </c>
      <c r="D32" s="334"/>
      <c r="E32" s="43"/>
      <c r="F32" s="43"/>
      <c r="G32" s="43"/>
      <c r="H32" s="43"/>
      <c r="I32" s="43"/>
      <c r="J32" s="29"/>
    </row>
    <row r="33" spans="1:11" ht="31.5">
      <c r="A33" s="10" t="s">
        <v>78</v>
      </c>
      <c r="B33" s="26" t="s">
        <v>58</v>
      </c>
      <c r="C33" s="28">
        <f>SUM(C34:C36)</f>
        <v>22487000</v>
      </c>
      <c r="D33" s="334"/>
      <c r="E33" s="43"/>
      <c r="F33" s="43"/>
      <c r="G33" s="43"/>
      <c r="H33" s="43"/>
      <c r="I33" s="43"/>
      <c r="J33" s="29"/>
    </row>
    <row r="34" spans="1:11">
      <c r="A34" s="38" t="s">
        <v>77</v>
      </c>
      <c r="B34" s="20" t="s">
        <v>326</v>
      </c>
      <c r="C34" s="217">
        <v>2000000</v>
      </c>
      <c r="D34" s="334"/>
      <c r="E34" s="43"/>
      <c r="F34" s="43"/>
      <c r="G34" s="43"/>
      <c r="H34" s="43"/>
      <c r="I34" s="43"/>
      <c r="J34" s="29"/>
    </row>
    <row r="35" spans="1:11">
      <c r="A35" s="38" t="s">
        <v>77</v>
      </c>
      <c r="B35" s="20" t="s">
        <v>158</v>
      </c>
      <c r="C35" s="21">
        <v>10987000</v>
      </c>
      <c r="D35" s="334"/>
      <c r="E35" s="46"/>
      <c r="F35" s="46"/>
      <c r="G35" s="46"/>
      <c r="H35" s="46"/>
      <c r="I35" s="46"/>
      <c r="J35" s="329"/>
    </row>
    <row r="36" spans="1:11">
      <c r="A36" s="38" t="s">
        <v>77</v>
      </c>
      <c r="B36" s="20" t="s">
        <v>63</v>
      </c>
      <c r="C36" s="21">
        <v>9500000</v>
      </c>
      <c r="D36" s="334"/>
      <c r="E36" s="46"/>
      <c r="F36" s="46"/>
      <c r="G36" s="46"/>
      <c r="H36" s="46"/>
      <c r="I36" s="46"/>
      <c r="J36" s="329"/>
    </row>
    <row r="37" spans="1:11">
      <c r="A37" s="10" t="s">
        <v>81</v>
      </c>
      <c r="B37" s="26" t="s">
        <v>59</v>
      </c>
      <c r="C37" s="28">
        <f>ROUND(SUM(C38:C42),-3)</f>
        <v>915412000</v>
      </c>
      <c r="D37" s="334"/>
      <c r="E37" s="43"/>
      <c r="F37" s="43"/>
      <c r="G37" s="43"/>
      <c r="H37" s="43"/>
      <c r="I37" s="43"/>
      <c r="J37" s="29"/>
    </row>
    <row r="38" spans="1:11" ht="31.5">
      <c r="A38" s="37" t="s">
        <v>77</v>
      </c>
      <c r="B38" s="31" t="s">
        <v>327</v>
      </c>
      <c r="C38" s="21">
        <f>1289000+1575000</f>
        <v>2864000</v>
      </c>
      <c r="D38" s="334"/>
      <c r="E38" s="44" t="s">
        <v>13</v>
      </c>
      <c r="F38" s="47"/>
      <c r="G38" s="45" t="s">
        <v>283</v>
      </c>
      <c r="H38" s="44" t="s">
        <v>16</v>
      </c>
      <c r="I38" s="45" t="s">
        <v>17</v>
      </c>
      <c r="J38" s="32"/>
      <c r="K38" s="218">
        <v>827832000</v>
      </c>
    </row>
    <row r="39" spans="1:11" ht="30">
      <c r="A39" s="37" t="s">
        <v>77</v>
      </c>
      <c r="B39" s="31" t="s">
        <v>67</v>
      </c>
      <c r="C39" s="21">
        <v>24305000</v>
      </c>
      <c r="D39" s="334"/>
      <c r="E39" s="44" t="s">
        <v>13</v>
      </c>
      <c r="F39" s="47"/>
      <c r="G39" s="45" t="s">
        <v>323</v>
      </c>
      <c r="H39" s="44" t="s">
        <v>16</v>
      </c>
      <c r="I39" s="45" t="s">
        <v>46</v>
      </c>
      <c r="J39" s="34"/>
      <c r="K39" s="218">
        <f>+C39</f>
        <v>24305000</v>
      </c>
    </row>
    <row r="40" spans="1:11" ht="45">
      <c r="A40" s="37" t="s">
        <v>77</v>
      </c>
      <c r="B40" s="31" t="s">
        <v>330</v>
      </c>
      <c r="C40" s="21">
        <f>827832000+32116000</f>
        <v>859948000</v>
      </c>
      <c r="D40" s="334"/>
      <c r="E40" s="44" t="s">
        <v>13</v>
      </c>
      <c r="F40" s="42" t="s">
        <v>14</v>
      </c>
      <c r="G40" s="45" t="s">
        <v>323</v>
      </c>
      <c r="H40" s="44" t="s">
        <v>16</v>
      </c>
      <c r="I40" s="116" t="s">
        <v>157</v>
      </c>
      <c r="J40" s="36" t="s">
        <v>325</v>
      </c>
      <c r="K40" s="218">
        <f>+C29+C30+C34+C38+C41</f>
        <v>93290000</v>
      </c>
    </row>
    <row r="41" spans="1:11" ht="31.5">
      <c r="A41" s="37" t="s">
        <v>77</v>
      </c>
      <c r="B41" s="20" t="s">
        <v>69</v>
      </c>
      <c r="C41" s="23">
        <v>26515000</v>
      </c>
      <c r="D41" s="334"/>
      <c r="E41" s="47" t="s">
        <v>13</v>
      </c>
      <c r="F41" s="47"/>
      <c r="G41" s="45" t="s">
        <v>323</v>
      </c>
      <c r="H41" s="47" t="s">
        <v>16</v>
      </c>
      <c r="I41" s="42" t="s">
        <v>71</v>
      </c>
      <c r="J41" s="30"/>
      <c r="K41" s="218">
        <f>+C36+C42+C31+32116000</f>
        <v>43586000</v>
      </c>
    </row>
    <row r="42" spans="1:11" ht="30">
      <c r="A42" s="37" t="s">
        <v>77</v>
      </c>
      <c r="B42" s="20" t="s">
        <v>70</v>
      </c>
      <c r="C42" s="23">
        <v>1780000</v>
      </c>
      <c r="D42" s="335"/>
      <c r="E42" s="47" t="s">
        <v>13</v>
      </c>
      <c r="F42" s="47"/>
      <c r="G42" s="45" t="s">
        <v>323</v>
      </c>
      <c r="H42" s="47" t="s">
        <v>16</v>
      </c>
      <c r="I42" s="42" t="s">
        <v>46</v>
      </c>
      <c r="J42" s="29"/>
      <c r="K42" s="218">
        <f>+C35</f>
        <v>10987000</v>
      </c>
    </row>
    <row r="43" spans="1:11">
      <c r="A43" s="10"/>
      <c r="B43" s="26" t="s">
        <v>64</v>
      </c>
      <c r="C43" s="28">
        <f>ROUND((C28+C32),-3)</f>
        <v>1000000000</v>
      </c>
      <c r="D43" s="43"/>
      <c r="E43" s="43"/>
      <c r="F43" s="43"/>
      <c r="G43" s="43"/>
      <c r="H43" s="43"/>
      <c r="I43" s="43"/>
      <c r="J43" s="29"/>
      <c r="K43" s="218">
        <f>SUM(K38:K42)</f>
        <v>1000000000</v>
      </c>
    </row>
    <row r="58" spans="5:5">
      <c r="E58" s="1">
        <v>1028</v>
      </c>
    </row>
    <row r="59" spans="5:5">
      <c r="E59" s="1">
        <v>1162</v>
      </c>
    </row>
    <row r="60" spans="5:5">
      <c r="E60" s="1">
        <f>+E58-E59</f>
        <v>-134</v>
      </c>
    </row>
  </sheetData>
  <mergeCells count="10">
    <mergeCell ref="J35:J36"/>
    <mergeCell ref="D6:D19"/>
    <mergeCell ref="J12:J13"/>
    <mergeCell ref="A24:I24"/>
    <mergeCell ref="A1:I1"/>
    <mergeCell ref="A2:I2"/>
    <mergeCell ref="H3:I3"/>
    <mergeCell ref="A25:I25"/>
    <mergeCell ref="H26:I26"/>
    <mergeCell ref="D29:D42"/>
  </mergeCells>
  <phoneticPr fontId="4" type="noConversion"/>
  <pageMargins left="0.36" right="0.3" top="0.54" bottom="0.45" header="0.5" footer="0.5"/>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selection activeCell="C6" sqref="C6"/>
    </sheetView>
  </sheetViews>
  <sheetFormatPr defaultColWidth="9" defaultRowHeight="15.75"/>
  <cols>
    <col min="1" max="1" width="4.109375" style="1" customWidth="1"/>
    <col min="2" max="2" width="35" style="1" customWidth="1"/>
    <col min="3" max="3" width="12.44140625" style="1" customWidth="1"/>
    <col min="4" max="4" width="8.88671875" style="1" customWidth="1"/>
    <col min="5" max="5" width="11.21875" style="1" customWidth="1"/>
    <col min="6" max="6" width="8.21875" style="1" customWidth="1"/>
    <col min="7" max="7" width="15.88671875" style="1" customWidth="1"/>
    <col min="8" max="8" width="8.109375" style="1" customWidth="1"/>
    <col min="9" max="9" width="12.6640625" style="1" customWidth="1"/>
    <col min="10" max="10" width="9"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322</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ht="60">
      <c r="A5" s="37">
        <v>1</v>
      </c>
      <c r="B5" s="178" t="s">
        <v>269</v>
      </c>
      <c r="C5" s="21">
        <f>2512063000+100483000</f>
        <v>2612546000</v>
      </c>
      <c r="D5" s="42" t="s">
        <v>11</v>
      </c>
      <c r="E5" s="44" t="s">
        <v>72</v>
      </c>
      <c r="F5" s="42" t="s">
        <v>274</v>
      </c>
      <c r="G5" s="45" t="s">
        <v>273</v>
      </c>
      <c r="H5" s="44" t="s">
        <v>16</v>
      </c>
      <c r="I5" s="116" t="s">
        <v>47</v>
      </c>
      <c r="J5" s="175" t="s">
        <v>275</v>
      </c>
    </row>
    <row r="6" spans="1:10" ht="48.75" customHeight="1">
      <c r="A6" s="209"/>
      <c r="B6" s="210"/>
      <c r="C6" s="211"/>
      <c r="D6" s="212"/>
      <c r="E6" s="213"/>
      <c r="F6" s="212"/>
      <c r="G6" s="214"/>
      <c r="H6" s="213"/>
      <c r="I6" s="215"/>
      <c r="J6" s="216"/>
    </row>
    <row r="7" spans="1:10" ht="48.75" customHeight="1">
      <c r="A7" s="209"/>
      <c r="B7" s="210"/>
      <c r="C7" s="211"/>
      <c r="D7" s="212"/>
      <c r="E7" s="213"/>
      <c r="F7" s="212"/>
      <c r="G7" s="214"/>
      <c r="H7" s="213"/>
      <c r="I7" s="215"/>
      <c r="J7" s="216"/>
    </row>
    <row r="8" spans="1:10" ht="48.75" customHeight="1">
      <c r="A8" s="209"/>
      <c r="B8" s="210"/>
      <c r="C8" s="211"/>
      <c r="D8" s="212"/>
      <c r="E8" s="213"/>
      <c r="F8" s="212"/>
      <c r="G8" s="214"/>
      <c r="H8" s="213"/>
      <c r="I8" s="215"/>
      <c r="J8" s="216"/>
    </row>
    <row r="9" spans="1:10" ht="48.75" customHeight="1">
      <c r="A9" s="209"/>
      <c r="B9" s="210"/>
      <c r="C9" s="211"/>
      <c r="D9" s="212"/>
      <c r="E9" s="213"/>
      <c r="F9" s="212"/>
      <c r="G9" s="214"/>
      <c r="H9" s="213"/>
      <c r="I9" s="215"/>
      <c r="J9" s="216"/>
    </row>
    <row r="10" spans="1:10" ht="48.75" customHeight="1">
      <c r="A10" s="209"/>
      <c r="B10" s="210"/>
      <c r="C10" s="211"/>
      <c r="D10" s="212"/>
      <c r="E10" s="213"/>
      <c r="F10" s="212"/>
      <c r="G10" s="214"/>
      <c r="H10" s="213"/>
      <c r="I10" s="215"/>
      <c r="J10" s="216"/>
    </row>
    <row r="11" spans="1:10" ht="48.75" customHeight="1">
      <c r="A11" s="209"/>
      <c r="B11" s="210"/>
      <c r="C11" s="211"/>
      <c r="D11" s="212"/>
      <c r="E11" s="213"/>
      <c r="F11" s="212"/>
      <c r="G11" s="214"/>
      <c r="H11" s="213"/>
      <c r="I11" s="215"/>
      <c r="J11" s="216"/>
    </row>
    <row r="12" spans="1:10" ht="48.75" customHeight="1">
      <c r="A12" s="209"/>
      <c r="B12" s="210"/>
      <c r="C12" s="211"/>
      <c r="D12" s="212"/>
      <c r="E12" s="213"/>
      <c r="F12" s="212"/>
      <c r="G12" s="214"/>
      <c r="H12" s="213"/>
      <c r="I12" s="215"/>
      <c r="J12" s="216"/>
    </row>
    <row r="13" spans="1:10" ht="48.75" customHeight="1">
      <c r="A13" s="209"/>
      <c r="B13" s="210"/>
      <c r="C13" s="211"/>
      <c r="D13" s="212"/>
      <c r="E13" s="213"/>
      <c r="F13" s="212"/>
      <c r="G13" s="214"/>
      <c r="H13" s="213"/>
      <c r="I13" s="215"/>
      <c r="J13" s="216"/>
    </row>
    <row r="14" spans="1:10" ht="48.75" customHeight="1">
      <c r="A14" s="209"/>
      <c r="B14" s="210"/>
      <c r="C14" s="211"/>
      <c r="D14" s="212"/>
      <c r="E14" s="213"/>
      <c r="F14" s="212"/>
      <c r="G14" s="214"/>
      <c r="H14" s="213"/>
      <c r="I14" s="215"/>
      <c r="J14" s="216"/>
    </row>
    <row r="15" spans="1:10" ht="48.75" customHeight="1">
      <c r="A15" s="209"/>
      <c r="B15" s="210"/>
      <c r="C15" s="211"/>
      <c r="D15" s="212"/>
      <c r="E15" s="213"/>
      <c r="F15" s="212"/>
      <c r="G15" s="214"/>
      <c r="H15" s="213"/>
      <c r="I15" s="215"/>
      <c r="J15" s="216"/>
    </row>
    <row r="16" spans="1:10" ht="48.75" customHeight="1">
      <c r="A16" s="209"/>
      <c r="B16" s="210"/>
      <c r="C16" s="211"/>
      <c r="D16" s="212"/>
      <c r="E16" s="213"/>
      <c r="F16" s="212"/>
      <c r="G16" s="214"/>
      <c r="H16" s="213"/>
      <c r="I16" s="215"/>
      <c r="J16" s="216"/>
    </row>
    <row r="17" spans="1:12" ht="48.75" customHeight="1">
      <c r="A17" s="209"/>
      <c r="B17" s="210"/>
      <c r="C17" s="211"/>
      <c r="D17" s="212"/>
      <c r="E17" s="213"/>
      <c r="F17" s="212"/>
      <c r="G17" s="214"/>
      <c r="H17" s="213"/>
      <c r="I17" s="215"/>
      <c r="J17" s="216"/>
    </row>
    <row r="18" spans="1:12" ht="48.75" customHeight="1">
      <c r="A18" s="209"/>
      <c r="B18" s="210"/>
      <c r="C18" s="211"/>
      <c r="D18" s="212"/>
      <c r="E18" s="213"/>
      <c r="F18" s="212"/>
      <c r="G18" s="214"/>
      <c r="H18" s="213"/>
      <c r="I18" s="215"/>
      <c r="J18" s="216"/>
    </row>
    <row r="19" spans="1:12" ht="48.75" customHeight="1">
      <c r="A19" s="209"/>
      <c r="B19" s="210"/>
      <c r="C19" s="211"/>
      <c r="D19" s="212"/>
      <c r="E19" s="213"/>
      <c r="F19" s="212"/>
      <c r="G19" s="214"/>
      <c r="H19" s="213"/>
      <c r="I19" s="215"/>
      <c r="J19" s="216"/>
    </row>
    <row r="20" spans="1:12" ht="48.75" customHeight="1">
      <c r="A20" s="209"/>
      <c r="B20" s="210"/>
      <c r="C20" s="211"/>
      <c r="D20" s="212"/>
      <c r="E20" s="213"/>
      <c r="F20" s="212"/>
      <c r="G20" s="214"/>
      <c r="H20" s="213"/>
      <c r="I20" s="215"/>
      <c r="J20" s="216"/>
    </row>
    <row r="22" spans="1:12">
      <c r="C22" s="199"/>
    </row>
    <row r="23" spans="1:12" ht="16.5">
      <c r="A23" s="330" t="s">
        <v>27</v>
      </c>
      <c r="B23" s="330"/>
      <c r="C23" s="330"/>
      <c r="D23" s="330"/>
      <c r="E23" s="330"/>
      <c r="F23" s="330"/>
      <c r="G23" s="330"/>
      <c r="H23" s="330"/>
      <c r="I23" s="330"/>
    </row>
    <row r="24" spans="1:12" ht="16.5">
      <c r="A24" s="331" t="s">
        <v>321</v>
      </c>
      <c r="B24" s="331"/>
      <c r="C24" s="331"/>
      <c r="D24" s="331"/>
      <c r="E24" s="331"/>
      <c r="F24" s="331"/>
      <c r="G24" s="331"/>
      <c r="H24" s="331"/>
      <c r="I24" s="331"/>
    </row>
    <row r="25" spans="1:12">
      <c r="H25" s="332"/>
      <c r="I25" s="332"/>
    </row>
    <row r="26" spans="1:12" ht="63">
      <c r="A26" s="10" t="s">
        <v>21</v>
      </c>
      <c r="B26" s="10" t="s">
        <v>0</v>
      </c>
      <c r="C26" s="10" t="s">
        <v>83</v>
      </c>
      <c r="D26" s="10" t="s">
        <v>1</v>
      </c>
      <c r="E26" s="10" t="s">
        <v>2</v>
      </c>
      <c r="F26" s="10" t="s">
        <v>3</v>
      </c>
      <c r="G26" s="10" t="s">
        <v>4</v>
      </c>
      <c r="H26" s="10" t="s">
        <v>5</v>
      </c>
      <c r="I26" s="10" t="s">
        <v>6</v>
      </c>
      <c r="J26" s="10" t="s">
        <v>65</v>
      </c>
    </row>
    <row r="27" spans="1:12" s="33" customFormat="1" ht="16.5">
      <c r="A27" s="10" t="s">
        <v>57</v>
      </c>
      <c r="B27" s="177" t="s">
        <v>75</v>
      </c>
      <c r="C27" s="28">
        <f>SUM(C28:C30)</f>
        <v>203481000</v>
      </c>
      <c r="D27" s="10"/>
      <c r="E27" s="43"/>
      <c r="F27" s="43"/>
      <c r="G27" s="43"/>
      <c r="H27" s="43"/>
      <c r="I27" s="43"/>
      <c r="J27" s="29"/>
      <c r="K27" s="35">
        <v>12122000</v>
      </c>
      <c r="L27" s="35">
        <f>+J27+K27</f>
        <v>12122000</v>
      </c>
    </row>
    <row r="28" spans="1:12" ht="33">
      <c r="A28" s="37" t="s">
        <v>77</v>
      </c>
      <c r="B28" s="178" t="s">
        <v>261</v>
      </c>
      <c r="C28" s="21">
        <f>25602000+40111000+126985000</f>
        <v>192698000</v>
      </c>
      <c r="D28" s="339" t="s">
        <v>271</v>
      </c>
      <c r="E28" s="44" t="s">
        <v>13</v>
      </c>
      <c r="F28" s="43"/>
      <c r="G28" s="45"/>
      <c r="H28" s="44" t="s">
        <v>16</v>
      </c>
      <c r="I28" s="45" t="s">
        <v>66</v>
      </c>
      <c r="J28" s="32"/>
    </row>
    <row r="29" spans="1:12" ht="16.5">
      <c r="A29" s="37" t="s">
        <v>77</v>
      </c>
      <c r="B29" s="179" t="s">
        <v>262</v>
      </c>
      <c r="C29" s="21">
        <v>10194000</v>
      </c>
      <c r="D29" s="339"/>
      <c r="E29" s="44"/>
      <c r="F29" s="43"/>
      <c r="G29" s="45"/>
      <c r="H29" s="44"/>
      <c r="I29" s="45"/>
      <c r="J29" s="10"/>
    </row>
    <row r="30" spans="1:12" ht="16.5">
      <c r="A30" s="37" t="s">
        <v>77</v>
      </c>
      <c r="B30" s="179" t="s">
        <v>270</v>
      </c>
      <c r="C30" s="21">
        <v>589000</v>
      </c>
      <c r="D30" s="339"/>
      <c r="E30" s="44"/>
      <c r="F30" s="43"/>
      <c r="G30" s="45"/>
      <c r="H30" s="44"/>
      <c r="I30" s="45"/>
      <c r="J30" s="172"/>
    </row>
    <row r="31" spans="1:12" ht="16.5">
      <c r="A31" s="10" t="s">
        <v>60</v>
      </c>
      <c r="B31" s="177" t="s">
        <v>76</v>
      </c>
      <c r="C31" s="28">
        <f>+C32+C39</f>
        <v>2926169000</v>
      </c>
      <c r="D31" s="43"/>
      <c r="E31" s="43"/>
      <c r="F31" s="43"/>
      <c r="G31" s="43"/>
      <c r="H31" s="43"/>
      <c r="I31" s="43"/>
      <c r="J31" s="29"/>
    </row>
    <row r="32" spans="1:12" ht="33">
      <c r="A32" s="10" t="s">
        <v>78</v>
      </c>
      <c r="B32" s="177" t="s">
        <v>58</v>
      </c>
      <c r="C32" s="28">
        <f>SUM(C33:C38)</f>
        <v>278680000</v>
      </c>
      <c r="D32" s="43"/>
      <c r="E32" s="43"/>
      <c r="F32" s="43"/>
      <c r="G32" s="43"/>
      <c r="H32" s="43"/>
      <c r="I32" s="43"/>
      <c r="J32" s="29"/>
    </row>
    <row r="33" spans="1:10" ht="16.5">
      <c r="A33" s="37" t="s">
        <v>77</v>
      </c>
      <c r="B33" s="179" t="s">
        <v>142</v>
      </c>
      <c r="C33" s="21">
        <v>56782000</v>
      </c>
      <c r="D33" s="333" t="s">
        <v>271</v>
      </c>
      <c r="E33" s="44"/>
      <c r="F33" s="46"/>
      <c r="G33" s="46"/>
      <c r="H33" s="44"/>
      <c r="I33" s="45"/>
      <c r="J33" s="10"/>
    </row>
    <row r="34" spans="1:10" ht="16.5">
      <c r="A34" s="37" t="s">
        <v>77</v>
      </c>
      <c r="B34" s="179" t="s">
        <v>263</v>
      </c>
      <c r="C34" s="23">
        <v>59330000</v>
      </c>
      <c r="D34" s="334"/>
      <c r="E34" s="44"/>
      <c r="F34" s="46"/>
      <c r="G34" s="46"/>
      <c r="H34" s="44"/>
      <c r="I34" s="45"/>
      <c r="J34" s="10"/>
    </row>
    <row r="35" spans="1:10" ht="16.5">
      <c r="A35" s="37" t="s">
        <v>77</v>
      </c>
      <c r="B35" s="179" t="s">
        <v>264</v>
      </c>
      <c r="C35" s="23">
        <v>29450000</v>
      </c>
      <c r="D35" s="334"/>
      <c r="E35" s="44"/>
      <c r="F35" s="46"/>
      <c r="G35" s="46"/>
      <c r="H35" s="44"/>
      <c r="I35" s="45"/>
      <c r="J35" s="10"/>
    </row>
    <row r="36" spans="1:10" ht="16.5">
      <c r="A36" s="37" t="s">
        <v>77</v>
      </c>
      <c r="B36" s="179" t="s">
        <v>265</v>
      </c>
      <c r="C36" s="23">
        <v>2284000</v>
      </c>
      <c r="D36" s="334"/>
      <c r="E36" s="44"/>
      <c r="F36" s="46"/>
      <c r="G36" s="46"/>
      <c r="H36" s="44"/>
      <c r="I36" s="45"/>
      <c r="J36" s="10"/>
    </row>
    <row r="37" spans="1:10" ht="16.5">
      <c r="A37" s="37" t="s">
        <v>77</v>
      </c>
      <c r="B37" s="179" t="s">
        <v>266</v>
      </c>
      <c r="C37" s="23">
        <v>25000000</v>
      </c>
      <c r="D37" s="334"/>
      <c r="E37" s="44"/>
      <c r="F37" s="46"/>
      <c r="G37" s="46"/>
      <c r="H37" s="44"/>
      <c r="I37" s="45"/>
      <c r="J37" s="10"/>
    </row>
    <row r="38" spans="1:10" ht="16.5">
      <c r="A38" s="37" t="s">
        <v>77</v>
      </c>
      <c r="B38" s="179" t="s">
        <v>267</v>
      </c>
      <c r="C38" s="23">
        <v>105834000</v>
      </c>
      <c r="D38" s="335"/>
      <c r="E38" s="44"/>
      <c r="F38" s="46"/>
      <c r="G38" s="46"/>
      <c r="H38" s="44"/>
      <c r="I38" s="45"/>
      <c r="J38" s="10"/>
    </row>
    <row r="39" spans="1:10" ht="33">
      <c r="A39" s="10" t="s">
        <v>81</v>
      </c>
      <c r="B39" s="177" t="s">
        <v>59</v>
      </c>
      <c r="C39" s="28">
        <f>ROUND(SUM(C40:C42),-3)</f>
        <v>2647489000</v>
      </c>
      <c r="D39" s="10"/>
      <c r="E39" s="10"/>
      <c r="F39" s="10"/>
      <c r="G39" s="10"/>
      <c r="H39" s="10"/>
      <c r="I39" s="10"/>
      <c r="J39" s="29"/>
    </row>
    <row r="40" spans="1:10" ht="33">
      <c r="A40" s="37" t="s">
        <v>77</v>
      </c>
      <c r="B40" s="178" t="s">
        <v>268</v>
      </c>
      <c r="C40" s="23">
        <v>9069000</v>
      </c>
      <c r="D40" s="333" t="s">
        <v>272</v>
      </c>
      <c r="E40" s="44" t="s">
        <v>13</v>
      </c>
      <c r="F40" s="47"/>
      <c r="G40" s="45" t="s">
        <v>273</v>
      </c>
      <c r="H40" s="44" t="s">
        <v>16</v>
      </c>
      <c r="I40" s="45" t="s">
        <v>45</v>
      </c>
      <c r="J40" s="174"/>
    </row>
    <row r="41" spans="1:10" ht="60">
      <c r="A41" s="37" t="s">
        <v>77</v>
      </c>
      <c r="B41" s="178" t="s">
        <v>269</v>
      </c>
      <c r="C41" s="21">
        <f>2512063000+100483000</f>
        <v>2612546000</v>
      </c>
      <c r="D41" s="334"/>
      <c r="E41" s="44" t="s">
        <v>72</v>
      </c>
      <c r="F41" s="42" t="s">
        <v>274</v>
      </c>
      <c r="G41" s="45" t="s">
        <v>273</v>
      </c>
      <c r="H41" s="44" t="s">
        <v>16</v>
      </c>
      <c r="I41" s="116" t="s">
        <v>130</v>
      </c>
      <c r="J41" s="175" t="s">
        <v>275</v>
      </c>
    </row>
    <row r="42" spans="1:10" ht="30">
      <c r="A42" s="37" t="s">
        <v>77</v>
      </c>
      <c r="B42" s="180" t="s">
        <v>10</v>
      </c>
      <c r="C42" s="23">
        <v>25874000</v>
      </c>
      <c r="D42" s="334"/>
      <c r="E42" s="47" t="s">
        <v>13</v>
      </c>
      <c r="F42" s="47"/>
      <c r="G42" s="45" t="s">
        <v>273</v>
      </c>
      <c r="H42" s="47" t="s">
        <v>16</v>
      </c>
      <c r="I42" s="42" t="s">
        <v>156</v>
      </c>
      <c r="J42" s="176"/>
    </row>
    <row r="43" spans="1:10" ht="16.5">
      <c r="A43" s="10"/>
      <c r="B43" s="177" t="s">
        <v>64</v>
      </c>
      <c r="C43" s="28">
        <f>ROUND((C27+C31),-3)</f>
        <v>3129650000</v>
      </c>
      <c r="D43" s="43"/>
      <c r="E43" s="43"/>
      <c r="F43" s="43"/>
      <c r="G43" s="43"/>
      <c r="H43" s="43"/>
      <c r="I43" s="43"/>
      <c r="J43" s="29"/>
    </row>
    <row r="45" spans="1:10">
      <c r="C45" s="199"/>
    </row>
    <row r="54" spans="1:10" ht="57.75" customHeight="1"/>
    <row r="56" spans="1:10" ht="74.25" customHeight="1"/>
    <row r="57" spans="1:10" ht="84.75" customHeight="1"/>
    <row r="58" spans="1:10" ht="0.75" customHeight="1"/>
    <row r="59" spans="1:10" ht="32.25" hidden="1" customHeight="1"/>
    <row r="60" spans="1:10" ht="16.5">
      <c r="A60" s="330" t="s">
        <v>27</v>
      </c>
      <c r="B60" s="330"/>
      <c r="C60" s="330"/>
      <c r="D60" s="330"/>
      <c r="E60" s="330"/>
      <c r="F60" s="330"/>
      <c r="G60" s="330"/>
      <c r="H60" s="330"/>
      <c r="I60" s="330"/>
    </row>
    <row r="61" spans="1:10" ht="16.5">
      <c r="A61" s="331" t="s">
        <v>276</v>
      </c>
      <c r="B61" s="331"/>
      <c r="C61" s="331"/>
      <c r="D61" s="331"/>
      <c r="E61" s="331"/>
      <c r="F61" s="331"/>
      <c r="G61" s="331"/>
      <c r="H61" s="331"/>
      <c r="I61" s="331"/>
    </row>
    <row r="62" spans="1:10" ht="63">
      <c r="A62" s="10" t="s">
        <v>21</v>
      </c>
      <c r="B62" s="10" t="s">
        <v>0</v>
      </c>
      <c r="C62" s="10" t="s">
        <v>83</v>
      </c>
      <c r="D62" s="10" t="s">
        <v>1</v>
      </c>
      <c r="E62" s="10" t="s">
        <v>2</v>
      </c>
      <c r="F62" s="10" t="s">
        <v>3</v>
      </c>
      <c r="G62" s="10" t="s">
        <v>4</v>
      </c>
      <c r="H62" s="10" t="s">
        <v>5</v>
      </c>
      <c r="I62" s="10" t="s">
        <v>6</v>
      </c>
      <c r="J62" s="10" t="s">
        <v>65</v>
      </c>
    </row>
    <row r="63" spans="1:10" ht="16.5">
      <c r="A63" s="10" t="s">
        <v>57</v>
      </c>
      <c r="B63" s="177" t="s">
        <v>75</v>
      </c>
      <c r="C63" s="28">
        <f>SUM(C64:C66)</f>
        <v>203481000</v>
      </c>
      <c r="D63" s="10"/>
      <c r="E63" s="43"/>
      <c r="F63" s="43"/>
      <c r="G63" s="43"/>
      <c r="H63" s="43"/>
      <c r="I63" s="43"/>
      <c r="J63" s="29"/>
    </row>
    <row r="64" spans="1:10" s="33" customFormat="1" ht="33">
      <c r="A64" s="37" t="s">
        <v>77</v>
      </c>
      <c r="B64" s="178" t="s">
        <v>261</v>
      </c>
      <c r="C64" s="21">
        <f>25602000+40111000+126985000</f>
        <v>192698000</v>
      </c>
      <c r="D64" s="339" t="s">
        <v>271</v>
      </c>
      <c r="E64" s="44" t="s">
        <v>13</v>
      </c>
      <c r="F64" s="43"/>
      <c r="G64" s="45"/>
      <c r="H64" s="44" t="s">
        <v>16</v>
      </c>
      <c r="I64" s="45" t="s">
        <v>66</v>
      </c>
      <c r="J64" s="32"/>
    </row>
    <row r="65" spans="1:12" s="27" customFormat="1" ht="16.5">
      <c r="A65" s="37" t="s">
        <v>77</v>
      </c>
      <c r="B65" s="179" t="s">
        <v>262</v>
      </c>
      <c r="C65" s="21">
        <v>10194000</v>
      </c>
      <c r="D65" s="339"/>
      <c r="E65" s="44"/>
      <c r="F65" s="43"/>
      <c r="G65" s="45"/>
      <c r="H65" s="44"/>
      <c r="I65" s="45"/>
      <c r="J65" s="10"/>
    </row>
    <row r="66" spans="1:12" s="173" customFormat="1" ht="16.5">
      <c r="A66" s="37" t="s">
        <v>77</v>
      </c>
      <c r="B66" s="179" t="s">
        <v>270</v>
      </c>
      <c r="C66" s="21">
        <v>589000</v>
      </c>
      <c r="D66" s="339"/>
      <c r="E66" s="44"/>
      <c r="F66" s="43"/>
      <c r="G66" s="45"/>
      <c r="H66" s="44"/>
      <c r="I66" s="45"/>
      <c r="J66" s="172"/>
    </row>
    <row r="67" spans="1:12" ht="16.5">
      <c r="A67" s="10" t="s">
        <v>60</v>
      </c>
      <c r="B67" s="177" t="s">
        <v>76</v>
      </c>
      <c r="C67" s="28">
        <f>+C68+C75</f>
        <v>2926169000</v>
      </c>
      <c r="D67" s="43"/>
      <c r="E67" s="43"/>
      <c r="F67" s="43"/>
      <c r="G67" s="43"/>
      <c r="H67" s="43"/>
      <c r="I67" s="43"/>
      <c r="J67" s="29"/>
    </row>
    <row r="68" spans="1:12" ht="33">
      <c r="A68" s="10" t="s">
        <v>78</v>
      </c>
      <c r="B68" s="177" t="s">
        <v>58</v>
      </c>
      <c r="C68" s="28">
        <f>SUM(C69:C74)</f>
        <v>278680000</v>
      </c>
      <c r="D68" s="43"/>
      <c r="E68" s="43"/>
      <c r="F68" s="43"/>
      <c r="G68" s="43"/>
      <c r="H68" s="43"/>
      <c r="I68" s="43"/>
      <c r="J68" s="29"/>
    </row>
    <row r="69" spans="1:12" s="27" customFormat="1" ht="16.5">
      <c r="A69" s="37" t="s">
        <v>77</v>
      </c>
      <c r="B69" s="179" t="s">
        <v>142</v>
      </c>
      <c r="C69" s="21">
        <v>56782000</v>
      </c>
      <c r="D69" s="333" t="s">
        <v>271</v>
      </c>
      <c r="E69" s="44"/>
      <c r="F69" s="46"/>
      <c r="G69" s="46"/>
      <c r="H69" s="44"/>
      <c r="I69" s="45"/>
      <c r="J69" s="10"/>
    </row>
    <row r="70" spans="1:12" s="27" customFormat="1" ht="16.5">
      <c r="A70" s="37" t="s">
        <v>77</v>
      </c>
      <c r="B70" s="179" t="s">
        <v>263</v>
      </c>
      <c r="C70" s="23">
        <v>59330000</v>
      </c>
      <c r="D70" s="334"/>
      <c r="E70" s="44"/>
      <c r="F70" s="46"/>
      <c r="G70" s="46"/>
      <c r="H70" s="44"/>
      <c r="I70" s="45"/>
      <c r="J70" s="10"/>
    </row>
    <row r="71" spans="1:12" s="27" customFormat="1" ht="16.5">
      <c r="A71" s="37" t="s">
        <v>77</v>
      </c>
      <c r="B71" s="179" t="s">
        <v>264</v>
      </c>
      <c r="C71" s="23">
        <v>29450000</v>
      </c>
      <c r="D71" s="334"/>
      <c r="E71" s="44"/>
      <c r="F71" s="46"/>
      <c r="G71" s="46"/>
      <c r="H71" s="44"/>
      <c r="I71" s="45"/>
      <c r="J71" s="10"/>
    </row>
    <row r="72" spans="1:12" s="27" customFormat="1" ht="16.5">
      <c r="A72" s="37" t="s">
        <v>77</v>
      </c>
      <c r="B72" s="179" t="s">
        <v>265</v>
      </c>
      <c r="C72" s="23">
        <v>2284000</v>
      </c>
      <c r="D72" s="334"/>
      <c r="E72" s="44"/>
      <c r="F72" s="46"/>
      <c r="G72" s="46"/>
      <c r="H72" s="44"/>
      <c r="I72" s="45"/>
      <c r="J72" s="10"/>
    </row>
    <row r="73" spans="1:12" s="27" customFormat="1" ht="16.5">
      <c r="A73" s="37" t="s">
        <v>77</v>
      </c>
      <c r="B73" s="179" t="s">
        <v>266</v>
      </c>
      <c r="C73" s="23">
        <v>25000000</v>
      </c>
      <c r="D73" s="334"/>
      <c r="E73" s="44"/>
      <c r="F73" s="46"/>
      <c r="G73" s="46"/>
      <c r="H73" s="44"/>
      <c r="I73" s="45"/>
      <c r="J73" s="10"/>
    </row>
    <row r="74" spans="1:12" s="27" customFormat="1" ht="16.5">
      <c r="A74" s="37" t="s">
        <v>77</v>
      </c>
      <c r="B74" s="179" t="s">
        <v>267</v>
      </c>
      <c r="C74" s="23">
        <v>105834000</v>
      </c>
      <c r="D74" s="335"/>
      <c r="E74" s="44"/>
      <c r="F74" s="46"/>
      <c r="G74" s="46"/>
      <c r="H74" s="44"/>
      <c r="I74" s="45"/>
      <c r="J74" s="10"/>
    </row>
    <row r="75" spans="1:12" ht="33">
      <c r="A75" s="10" t="s">
        <v>81</v>
      </c>
      <c r="B75" s="177" t="s">
        <v>59</v>
      </c>
      <c r="C75" s="28">
        <f>ROUND(SUM(C76:C78),-3)</f>
        <v>2647489000</v>
      </c>
      <c r="D75" s="10"/>
      <c r="E75" s="10"/>
      <c r="F75" s="10"/>
      <c r="G75" s="10"/>
      <c r="H75" s="10"/>
      <c r="I75" s="10"/>
      <c r="J75" s="29"/>
    </row>
    <row r="76" spans="1:12" s="33" customFormat="1" ht="33">
      <c r="A76" s="37" t="s">
        <v>77</v>
      </c>
      <c r="B76" s="178" t="s">
        <v>268</v>
      </c>
      <c r="C76" s="23">
        <v>9069000</v>
      </c>
      <c r="D76" s="333" t="s">
        <v>272</v>
      </c>
      <c r="E76" s="44" t="s">
        <v>13</v>
      </c>
      <c r="F76" s="47"/>
      <c r="G76" s="45" t="s">
        <v>273</v>
      </c>
      <c r="H76" s="44" t="s">
        <v>16</v>
      </c>
      <c r="I76" s="45" t="s">
        <v>45</v>
      </c>
      <c r="J76" s="174"/>
    </row>
    <row r="77" spans="1:12" s="33" customFormat="1" ht="60">
      <c r="A77" s="37" t="s">
        <v>77</v>
      </c>
      <c r="B77" s="178" t="s">
        <v>269</v>
      </c>
      <c r="C77" s="21">
        <f>2512063000+100483000</f>
        <v>2612546000</v>
      </c>
      <c r="D77" s="334"/>
      <c r="E77" s="44" t="s">
        <v>72</v>
      </c>
      <c r="F77" s="42" t="s">
        <v>274</v>
      </c>
      <c r="G77" s="45" t="s">
        <v>273</v>
      </c>
      <c r="H77" s="44" t="s">
        <v>16</v>
      </c>
      <c r="I77" s="116" t="s">
        <v>130</v>
      </c>
      <c r="J77" s="175" t="s">
        <v>275</v>
      </c>
      <c r="K77" s="35">
        <v>12122000</v>
      </c>
      <c r="L77" s="35" t="e">
        <f>+J77+K77</f>
        <v>#VALUE!</v>
      </c>
    </row>
    <row r="78" spans="1:12" ht="30">
      <c r="A78" s="37" t="s">
        <v>77</v>
      </c>
      <c r="B78" s="180" t="s">
        <v>10</v>
      </c>
      <c r="C78" s="23">
        <v>25874000</v>
      </c>
      <c r="D78" s="334"/>
      <c r="E78" s="47" t="s">
        <v>13</v>
      </c>
      <c r="F78" s="47"/>
      <c r="G78" s="45" t="s">
        <v>273</v>
      </c>
      <c r="H78" s="47" t="s">
        <v>16</v>
      </c>
      <c r="I78" s="42" t="s">
        <v>156</v>
      </c>
      <c r="J78" s="176"/>
      <c r="K78" s="24"/>
      <c r="L78" s="24"/>
    </row>
    <row r="79" spans="1:12" ht="16.5">
      <c r="A79" s="10"/>
      <c r="B79" s="177" t="s">
        <v>64</v>
      </c>
      <c r="C79" s="28">
        <f>ROUND((C63+C67),-3)</f>
        <v>3129650000</v>
      </c>
      <c r="D79" s="43"/>
      <c r="E79" s="43"/>
      <c r="F79" s="43"/>
      <c r="G79" s="43"/>
      <c r="H79" s="43"/>
      <c r="I79" s="43"/>
      <c r="J79" s="29"/>
    </row>
    <row r="113" spans="3:3">
      <c r="C113" s="1">
        <v>160</v>
      </c>
    </row>
  </sheetData>
  <mergeCells count="14">
    <mergeCell ref="A1:I1"/>
    <mergeCell ref="A2:I2"/>
    <mergeCell ref="H3:I3"/>
    <mergeCell ref="D76:D78"/>
    <mergeCell ref="A61:I61"/>
    <mergeCell ref="D64:D66"/>
    <mergeCell ref="A23:I23"/>
    <mergeCell ref="A24:I24"/>
    <mergeCell ref="H25:I25"/>
    <mergeCell ref="A60:I60"/>
    <mergeCell ref="D28:D30"/>
    <mergeCell ref="D33:D38"/>
    <mergeCell ref="D40:D42"/>
    <mergeCell ref="D69:D74"/>
  </mergeCells>
  <phoneticPr fontId="4" type="noConversion"/>
  <pageMargins left="0.19" right="0.21" top="0.31" bottom="0.17" header="0.35" footer="0.17"/>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28" sqref="A1:IV65536"/>
    </sheetView>
  </sheetViews>
  <sheetFormatPr defaultColWidth="9" defaultRowHeight="15.75"/>
  <cols>
    <col min="1" max="1" width="4.109375" style="246" customWidth="1"/>
    <col min="2" max="2" width="36.109375" style="246" customWidth="1"/>
    <col min="3" max="3" width="13.6640625" style="246" customWidth="1"/>
    <col min="4" max="4" width="8.33203125" style="246" customWidth="1"/>
    <col min="5" max="5" width="14.109375" style="246" customWidth="1"/>
    <col min="6" max="6" width="11.6640625" style="246" customWidth="1"/>
    <col min="7" max="7" width="10.6640625" style="246" customWidth="1"/>
    <col min="8" max="8" width="8.109375" style="246" customWidth="1"/>
    <col min="9" max="9" width="11.88671875" style="246" customWidth="1"/>
    <col min="10" max="10" width="7.6640625" style="246" customWidth="1"/>
    <col min="11" max="11" width="20.33203125" style="246" customWidth="1"/>
    <col min="12" max="12" width="16.33203125" style="246" bestFit="1" customWidth="1"/>
    <col min="13" max="16384" width="9" style="246"/>
  </cols>
  <sheetData>
    <row r="1" spans="1:10" ht="16.5">
      <c r="A1" s="320" t="s">
        <v>27</v>
      </c>
      <c r="B1" s="320"/>
      <c r="C1" s="320"/>
      <c r="D1" s="320"/>
      <c r="E1" s="320"/>
      <c r="F1" s="320"/>
      <c r="G1" s="320"/>
      <c r="H1" s="320"/>
      <c r="I1" s="320"/>
    </row>
    <row r="2" spans="1:10" ht="16.5">
      <c r="A2" s="315" t="s">
        <v>392</v>
      </c>
      <c r="B2" s="315"/>
      <c r="C2" s="315"/>
      <c r="D2" s="315"/>
      <c r="E2" s="315"/>
      <c r="F2" s="315"/>
      <c r="G2" s="315"/>
      <c r="H2" s="315"/>
      <c r="I2" s="315"/>
    </row>
    <row r="3" spans="1:10">
      <c r="H3" s="322"/>
      <c r="I3" s="322"/>
    </row>
    <row r="4" spans="1:10" ht="63">
      <c r="A4" s="247" t="s">
        <v>21</v>
      </c>
      <c r="B4" s="247" t="s">
        <v>0</v>
      </c>
      <c r="C4" s="247" t="s">
        <v>360</v>
      </c>
      <c r="D4" s="247" t="s">
        <v>1</v>
      </c>
      <c r="E4" s="247" t="s">
        <v>2</v>
      </c>
      <c r="F4" s="247" t="s">
        <v>3</v>
      </c>
      <c r="G4" s="247" t="s">
        <v>4</v>
      </c>
      <c r="H4" s="247" t="s">
        <v>5</v>
      </c>
      <c r="I4" s="247" t="s">
        <v>6</v>
      </c>
      <c r="J4" s="247" t="s">
        <v>65</v>
      </c>
    </row>
    <row r="5" spans="1:10">
      <c r="A5" s="247" t="s">
        <v>57</v>
      </c>
      <c r="B5" s="249" t="s">
        <v>75</v>
      </c>
      <c r="C5" s="250">
        <f>SUM(C6:C10)</f>
        <v>7337749280</v>
      </c>
      <c r="D5" s="247"/>
      <c r="E5" s="248"/>
      <c r="F5" s="248"/>
      <c r="G5" s="248"/>
      <c r="H5" s="248"/>
      <c r="I5" s="248"/>
      <c r="J5" s="251"/>
    </row>
    <row r="6" spans="1:10" ht="47.25" customHeight="1">
      <c r="A6" s="252" t="s">
        <v>77</v>
      </c>
      <c r="B6" s="253" t="s">
        <v>408</v>
      </c>
      <c r="C6" s="254">
        <f>287200000+9638000+27144000</f>
        <v>323982000</v>
      </c>
      <c r="D6" s="273" t="s">
        <v>373</v>
      </c>
      <c r="E6" s="255" t="s">
        <v>13</v>
      </c>
      <c r="F6" s="248"/>
      <c r="G6" s="256"/>
      <c r="H6" s="255" t="s">
        <v>16</v>
      </c>
      <c r="I6" s="256" t="s">
        <v>66</v>
      </c>
      <c r="J6" s="251"/>
    </row>
    <row r="7" spans="1:10" ht="31.5">
      <c r="A7" s="252" t="s">
        <v>77</v>
      </c>
      <c r="B7" s="253" t="s">
        <v>409</v>
      </c>
      <c r="C7" s="254">
        <f>27410000+6411000</f>
        <v>33821000</v>
      </c>
      <c r="D7" s="274"/>
      <c r="E7" s="255" t="s">
        <v>13</v>
      </c>
      <c r="F7" s="257"/>
      <c r="G7" s="257"/>
      <c r="H7" s="255" t="s">
        <v>16</v>
      </c>
      <c r="I7" s="256" t="s">
        <v>45</v>
      </c>
      <c r="J7" s="247"/>
    </row>
    <row r="8" spans="1:10" ht="31.5">
      <c r="A8" s="252" t="s">
        <v>77</v>
      </c>
      <c r="B8" s="253" t="s">
        <v>410</v>
      </c>
      <c r="C8" s="254">
        <f>1520000+304000</f>
        <v>1824000</v>
      </c>
      <c r="D8" s="274"/>
      <c r="E8" s="257"/>
      <c r="F8" s="257"/>
      <c r="G8" s="257"/>
      <c r="H8" s="257"/>
      <c r="I8" s="257"/>
      <c r="J8" s="247"/>
    </row>
    <row r="9" spans="1:10" ht="31.5">
      <c r="A9" s="252" t="s">
        <v>77</v>
      </c>
      <c r="B9" s="253" t="s">
        <v>411</v>
      </c>
      <c r="C9" s="254">
        <v>3778047520</v>
      </c>
      <c r="D9" s="274"/>
      <c r="E9" s="255" t="s">
        <v>72</v>
      </c>
      <c r="F9" s="256" t="s">
        <v>14</v>
      </c>
      <c r="G9" s="256" t="s">
        <v>396</v>
      </c>
      <c r="H9" s="255" t="s">
        <v>16</v>
      </c>
      <c r="I9" s="256" t="s">
        <v>47</v>
      </c>
      <c r="J9" s="261"/>
    </row>
    <row r="10" spans="1:10" ht="31.5">
      <c r="A10" s="252" t="s">
        <v>77</v>
      </c>
      <c r="B10" s="253" t="s">
        <v>412</v>
      </c>
      <c r="C10" s="254">
        <v>3200074760</v>
      </c>
      <c r="D10" s="274"/>
      <c r="E10" s="255" t="s">
        <v>72</v>
      </c>
      <c r="F10" s="256" t="s">
        <v>14</v>
      </c>
      <c r="G10" s="256" t="s">
        <v>396</v>
      </c>
      <c r="H10" s="255" t="s">
        <v>16</v>
      </c>
      <c r="I10" s="256" t="s">
        <v>47</v>
      </c>
      <c r="J10" s="261"/>
    </row>
    <row r="11" spans="1:10">
      <c r="A11" s="247" t="s">
        <v>60</v>
      </c>
      <c r="B11" s="249" t="s">
        <v>76</v>
      </c>
      <c r="C11" s="250">
        <f>+C12+C17</f>
        <v>2746474400</v>
      </c>
      <c r="D11" s="274"/>
      <c r="E11" s="248"/>
      <c r="F11" s="248"/>
      <c r="G11" s="248"/>
      <c r="H11" s="248"/>
      <c r="I11" s="248"/>
      <c r="J11" s="251"/>
    </row>
    <row r="12" spans="1:10" ht="31.5">
      <c r="A12" s="247" t="s">
        <v>78</v>
      </c>
      <c r="B12" s="249" t="s">
        <v>58</v>
      </c>
      <c r="C12" s="250">
        <f>SUM(C13:C16)</f>
        <v>713233400</v>
      </c>
      <c r="D12" s="274"/>
      <c r="E12" s="248"/>
      <c r="F12" s="248"/>
      <c r="G12" s="248"/>
      <c r="H12" s="248"/>
      <c r="I12" s="248"/>
      <c r="J12" s="251"/>
    </row>
    <row r="13" spans="1:10">
      <c r="A13" s="252" t="s">
        <v>77</v>
      </c>
      <c r="B13" s="253" t="s">
        <v>158</v>
      </c>
      <c r="C13" s="254">
        <v>480406000</v>
      </c>
      <c r="D13" s="274"/>
      <c r="E13" s="257"/>
      <c r="F13" s="257"/>
      <c r="G13" s="257"/>
      <c r="H13" s="257"/>
      <c r="I13" s="257"/>
      <c r="J13" s="259"/>
    </row>
    <row r="14" spans="1:10">
      <c r="A14" s="252" t="s">
        <v>77</v>
      </c>
      <c r="B14" s="253" t="s">
        <v>383</v>
      </c>
      <c r="C14" s="258">
        <f>221529000*0.6</f>
        <v>132917400</v>
      </c>
      <c r="D14" s="274"/>
      <c r="E14" s="255"/>
      <c r="F14" s="248"/>
      <c r="G14" s="256"/>
      <c r="H14" s="255"/>
      <c r="I14" s="256"/>
      <c r="J14" s="259"/>
    </row>
    <row r="15" spans="1:10">
      <c r="A15" s="252" t="s">
        <v>77</v>
      </c>
      <c r="B15" s="253" t="s">
        <v>416</v>
      </c>
      <c r="C15" s="254">
        <f>6710000+2000000</f>
        <v>8710000</v>
      </c>
      <c r="D15" s="274"/>
      <c r="E15" s="257"/>
      <c r="F15" s="257"/>
      <c r="G15" s="257"/>
      <c r="H15" s="257"/>
      <c r="I15" s="257"/>
      <c r="J15" s="259"/>
    </row>
    <row r="16" spans="1:10">
      <c r="A16" s="252" t="s">
        <v>77</v>
      </c>
      <c r="B16" s="253" t="s">
        <v>63</v>
      </c>
      <c r="C16" s="254">
        <f>76000000+15200000</f>
        <v>91200000</v>
      </c>
      <c r="D16" s="274"/>
      <c r="E16" s="257"/>
      <c r="F16" s="257"/>
      <c r="G16" s="257"/>
      <c r="H16" s="257"/>
      <c r="I16" s="257"/>
      <c r="J16" s="259"/>
    </row>
    <row r="17" spans="1:11">
      <c r="A17" s="247" t="s">
        <v>81</v>
      </c>
      <c r="B17" s="249" t="s">
        <v>59</v>
      </c>
      <c r="C17" s="250">
        <f>ROUND(SUM(C18:C23),-3)</f>
        <v>2033241000</v>
      </c>
      <c r="D17" s="274"/>
      <c r="E17" s="248"/>
      <c r="F17" s="248"/>
      <c r="G17" s="248"/>
      <c r="H17" s="248"/>
      <c r="I17" s="248"/>
      <c r="J17" s="251"/>
    </row>
    <row r="18" spans="1:11" ht="31.5">
      <c r="A18" s="252" t="s">
        <v>77</v>
      </c>
      <c r="B18" s="253" t="s">
        <v>413</v>
      </c>
      <c r="C18" s="254">
        <f>23216000+2476000+3026000</f>
        <v>28718000</v>
      </c>
      <c r="D18" s="274"/>
      <c r="E18" s="255" t="s">
        <v>13</v>
      </c>
      <c r="F18" s="256"/>
      <c r="G18" s="256" t="s">
        <v>396</v>
      </c>
      <c r="H18" s="255" t="s">
        <v>16</v>
      </c>
      <c r="I18" s="256" t="s">
        <v>45</v>
      </c>
      <c r="J18" s="261"/>
    </row>
    <row r="19" spans="1:11" ht="31.5">
      <c r="A19" s="252" t="s">
        <v>77</v>
      </c>
      <c r="B19" s="253" t="s">
        <v>369</v>
      </c>
      <c r="C19" s="254"/>
      <c r="D19" s="274"/>
      <c r="E19" s="255" t="s">
        <v>13</v>
      </c>
      <c r="F19" s="256"/>
      <c r="G19" s="256" t="s">
        <v>396</v>
      </c>
      <c r="H19" s="255" t="s">
        <v>16</v>
      </c>
      <c r="I19" s="256" t="s">
        <v>17</v>
      </c>
      <c r="J19" s="261"/>
    </row>
    <row r="20" spans="1:11" ht="31.5">
      <c r="A20" s="252" t="s">
        <v>77</v>
      </c>
      <c r="B20" s="253" t="s">
        <v>414</v>
      </c>
      <c r="C20" s="258">
        <f>221529000*0.4</f>
        <v>88611600</v>
      </c>
      <c r="D20" s="274"/>
      <c r="E20" s="255" t="s">
        <v>13</v>
      </c>
      <c r="F20" s="248"/>
      <c r="G20" s="256" t="s">
        <v>396</v>
      </c>
      <c r="H20" s="255" t="s">
        <v>16</v>
      </c>
      <c r="I20" s="256" t="s">
        <v>46</v>
      </c>
      <c r="J20" s="251"/>
    </row>
    <row r="21" spans="1:11" ht="45">
      <c r="A21" s="252" t="s">
        <v>77</v>
      </c>
      <c r="B21" s="253" t="s">
        <v>415</v>
      </c>
      <c r="C21" s="254">
        <f>1590037000+63601000</f>
        <v>1653638000</v>
      </c>
      <c r="D21" s="274"/>
      <c r="E21" s="255" t="s">
        <v>389</v>
      </c>
      <c r="F21" s="256" t="s">
        <v>14</v>
      </c>
      <c r="G21" s="256" t="s">
        <v>396</v>
      </c>
      <c r="H21" s="255" t="s">
        <v>16</v>
      </c>
      <c r="I21" s="256" t="s">
        <v>47</v>
      </c>
      <c r="J21" s="261"/>
    </row>
    <row r="22" spans="1:11" ht="47.25">
      <c r="A22" s="252" t="s">
        <v>77</v>
      </c>
      <c r="B22" s="253" t="s">
        <v>418</v>
      </c>
      <c r="C22" s="254">
        <f>195375000+46298896</f>
        <v>241673896</v>
      </c>
      <c r="D22" s="274"/>
      <c r="E22" s="255" t="s">
        <v>13</v>
      </c>
      <c r="F22" s="255"/>
      <c r="G22" s="256" t="s">
        <v>396</v>
      </c>
      <c r="H22" s="255" t="s">
        <v>16</v>
      </c>
      <c r="I22" s="256" t="s">
        <v>48</v>
      </c>
      <c r="J22" s="260"/>
    </row>
    <row r="23" spans="1:11" ht="31.5">
      <c r="A23" s="252" t="s">
        <v>77</v>
      </c>
      <c r="B23" s="253" t="s">
        <v>417</v>
      </c>
      <c r="C23" s="254">
        <f>20129000+470111</f>
        <v>20599111</v>
      </c>
      <c r="D23" s="275"/>
      <c r="E23" s="255" t="s">
        <v>13</v>
      </c>
      <c r="F23" s="255"/>
      <c r="G23" s="256" t="s">
        <v>396</v>
      </c>
      <c r="H23" s="255" t="s">
        <v>16</v>
      </c>
      <c r="I23" s="256" t="s">
        <v>46</v>
      </c>
      <c r="J23" s="251"/>
    </row>
    <row r="24" spans="1:11">
      <c r="A24" s="247"/>
      <c r="B24" s="249" t="s">
        <v>64</v>
      </c>
      <c r="C24" s="250">
        <f>ROUND((C5+C11),-3)</f>
        <v>10084224000</v>
      </c>
      <c r="D24" s="248"/>
      <c r="E24" s="248"/>
      <c r="F24" s="248"/>
      <c r="G24" s="248"/>
      <c r="H24" s="248"/>
      <c r="I24" s="248"/>
      <c r="J24" s="251"/>
      <c r="K24" s="276">
        <f>10088523000-C24</f>
        <v>4299000</v>
      </c>
    </row>
    <row r="25" spans="1:11" ht="21.75" customHeight="1">
      <c r="A25" s="320" t="s">
        <v>27</v>
      </c>
      <c r="B25" s="320"/>
      <c r="C25" s="320"/>
      <c r="D25" s="320"/>
      <c r="E25" s="320"/>
      <c r="F25" s="320"/>
      <c r="G25" s="320"/>
      <c r="H25" s="320"/>
      <c r="I25" s="320"/>
    </row>
    <row r="26" spans="1:11" ht="16.5">
      <c r="A26" s="315" t="s">
        <v>400</v>
      </c>
      <c r="B26" s="315"/>
      <c r="C26" s="315"/>
      <c r="D26" s="315"/>
      <c r="E26" s="315"/>
      <c r="F26" s="315"/>
      <c r="G26" s="315"/>
      <c r="H26" s="315"/>
      <c r="I26" s="315"/>
    </row>
    <row r="27" spans="1:11">
      <c r="H27" s="322"/>
      <c r="I27" s="322"/>
    </row>
    <row r="28" spans="1:11" ht="63">
      <c r="A28" s="247" t="s">
        <v>21</v>
      </c>
      <c r="B28" s="247" t="s">
        <v>0</v>
      </c>
      <c r="C28" s="247" t="s">
        <v>360</v>
      </c>
      <c r="D28" s="247" t="s">
        <v>1</v>
      </c>
      <c r="E28" s="247" t="s">
        <v>2</v>
      </c>
      <c r="F28" s="247" t="s">
        <v>3</v>
      </c>
      <c r="G28" s="247" t="s">
        <v>4</v>
      </c>
      <c r="H28" s="247" t="s">
        <v>5</v>
      </c>
      <c r="I28" s="247" t="s">
        <v>6</v>
      </c>
      <c r="J28" s="247" t="s">
        <v>65</v>
      </c>
    </row>
    <row r="29" spans="1:11">
      <c r="A29" s="247" t="s">
        <v>57</v>
      </c>
      <c r="B29" s="249" t="s">
        <v>75</v>
      </c>
      <c r="C29" s="250">
        <f>SUM(C30:C32)</f>
        <v>81457000</v>
      </c>
      <c r="D29" s="247"/>
      <c r="E29" s="248"/>
      <c r="F29" s="248"/>
      <c r="G29" s="248"/>
      <c r="H29" s="248"/>
      <c r="I29" s="248"/>
      <c r="J29" s="251"/>
    </row>
    <row r="30" spans="1:11" ht="31.5" customHeight="1">
      <c r="A30" s="252" t="s">
        <v>77</v>
      </c>
      <c r="B30" s="253" t="s">
        <v>379</v>
      </c>
      <c r="C30" s="254">
        <f>13164000+63280000</f>
        <v>76444000</v>
      </c>
      <c r="D30" s="323" t="s">
        <v>373</v>
      </c>
      <c r="E30" s="255" t="s">
        <v>13</v>
      </c>
      <c r="F30" s="248"/>
      <c r="G30" s="256"/>
      <c r="H30" s="255" t="s">
        <v>16</v>
      </c>
      <c r="I30" s="256" t="s">
        <v>66</v>
      </c>
      <c r="J30" s="251"/>
    </row>
    <row r="31" spans="1:11" ht="31.5">
      <c r="A31" s="252" t="s">
        <v>77</v>
      </c>
      <c r="B31" s="253" t="s">
        <v>80</v>
      </c>
      <c r="C31" s="254">
        <v>4787000</v>
      </c>
      <c r="D31" s="324"/>
      <c r="E31" s="255" t="s">
        <v>13</v>
      </c>
      <c r="F31" s="257"/>
      <c r="G31" s="257"/>
      <c r="H31" s="255" t="s">
        <v>16</v>
      </c>
      <c r="I31" s="256" t="s">
        <v>45</v>
      </c>
      <c r="J31" s="247"/>
    </row>
    <row r="32" spans="1:11">
      <c r="A32" s="252" t="s">
        <v>77</v>
      </c>
      <c r="B32" s="253" t="s">
        <v>61</v>
      </c>
      <c r="C32" s="254">
        <v>226000</v>
      </c>
      <c r="D32" s="324"/>
      <c r="E32" s="257"/>
      <c r="F32" s="257"/>
      <c r="G32" s="257"/>
      <c r="H32" s="257"/>
      <c r="I32" s="257"/>
      <c r="J32" s="247"/>
    </row>
    <row r="33" spans="1:10">
      <c r="A33" s="247" t="s">
        <v>60</v>
      </c>
      <c r="B33" s="249" t="s">
        <v>76</v>
      </c>
      <c r="C33" s="250">
        <f>+C34+C38</f>
        <v>1318543200</v>
      </c>
      <c r="D33" s="324"/>
      <c r="E33" s="248"/>
      <c r="F33" s="248"/>
      <c r="G33" s="248"/>
      <c r="H33" s="248"/>
      <c r="I33" s="248"/>
      <c r="J33" s="251"/>
    </row>
    <row r="34" spans="1:10" ht="31.5">
      <c r="A34" s="247" t="s">
        <v>78</v>
      </c>
      <c r="B34" s="249" t="s">
        <v>58</v>
      </c>
      <c r="C34" s="250">
        <f>SUM(C35:C37)</f>
        <v>70475200</v>
      </c>
      <c r="D34" s="324"/>
      <c r="E34" s="248"/>
      <c r="F34" s="248"/>
      <c r="G34" s="248"/>
      <c r="H34" s="248"/>
      <c r="I34" s="248"/>
      <c r="J34" s="251"/>
    </row>
    <row r="35" spans="1:10">
      <c r="A35" s="252" t="s">
        <v>77</v>
      </c>
      <c r="B35" s="253" t="s">
        <v>158</v>
      </c>
      <c r="C35" s="254">
        <v>36261000</v>
      </c>
      <c r="D35" s="324"/>
      <c r="E35" s="257"/>
      <c r="F35" s="257"/>
      <c r="G35" s="257"/>
      <c r="H35" s="257"/>
      <c r="I35" s="257"/>
      <c r="J35" s="321"/>
    </row>
    <row r="36" spans="1:10">
      <c r="A36" s="252" t="s">
        <v>77</v>
      </c>
      <c r="B36" s="253" t="s">
        <v>383</v>
      </c>
      <c r="C36" s="258">
        <f>34857000*0.6</f>
        <v>20914200</v>
      </c>
      <c r="D36" s="324"/>
      <c r="E36" s="255"/>
      <c r="F36" s="248"/>
      <c r="G36" s="256"/>
      <c r="H36" s="255"/>
      <c r="I36" s="256"/>
      <c r="J36" s="321"/>
    </row>
    <row r="37" spans="1:10">
      <c r="A37" s="252" t="s">
        <v>77</v>
      </c>
      <c r="B37" s="253" t="s">
        <v>63</v>
      </c>
      <c r="C37" s="254">
        <f>13300000</f>
        <v>13300000</v>
      </c>
      <c r="D37" s="324"/>
      <c r="E37" s="257"/>
      <c r="F37" s="257"/>
      <c r="G37" s="257"/>
      <c r="H37" s="257"/>
      <c r="I37" s="257"/>
      <c r="J37" s="321"/>
    </row>
    <row r="38" spans="1:10">
      <c r="A38" s="247" t="s">
        <v>81</v>
      </c>
      <c r="B38" s="249" t="s">
        <v>59</v>
      </c>
      <c r="C38" s="250">
        <f>ROUND(SUM(C39:C44),-3)</f>
        <v>1248068000</v>
      </c>
      <c r="D38" s="324"/>
      <c r="E38" s="248"/>
      <c r="F38" s="248"/>
      <c r="G38" s="248"/>
      <c r="H38" s="248"/>
      <c r="I38" s="248"/>
      <c r="J38" s="251"/>
    </row>
    <row r="39" spans="1:10" ht="31.5">
      <c r="A39" s="252" t="s">
        <v>77</v>
      </c>
      <c r="B39" s="253" t="s">
        <v>371</v>
      </c>
      <c r="C39" s="254">
        <v>4108000</v>
      </c>
      <c r="D39" s="324"/>
      <c r="E39" s="255" t="s">
        <v>13</v>
      </c>
      <c r="F39" s="256"/>
      <c r="G39" s="256" t="s">
        <v>396</v>
      </c>
      <c r="H39" s="255" t="s">
        <v>16</v>
      </c>
      <c r="I39" s="256" t="s">
        <v>45</v>
      </c>
      <c r="J39" s="261"/>
    </row>
    <row r="40" spans="1:10" ht="31.5">
      <c r="A40" s="252" t="s">
        <v>77</v>
      </c>
      <c r="B40" s="253" t="s">
        <v>369</v>
      </c>
      <c r="C40" s="254">
        <v>1187000</v>
      </c>
      <c r="D40" s="324"/>
      <c r="E40" s="255" t="s">
        <v>13</v>
      </c>
      <c r="F40" s="256"/>
      <c r="G40" s="256" t="s">
        <v>396</v>
      </c>
      <c r="H40" s="255" t="s">
        <v>16</v>
      </c>
      <c r="I40" s="256" t="s">
        <v>17</v>
      </c>
      <c r="J40" s="261"/>
    </row>
    <row r="41" spans="1:10" ht="30">
      <c r="A41" s="252" t="s">
        <v>77</v>
      </c>
      <c r="B41" s="253" t="s">
        <v>387</v>
      </c>
      <c r="C41" s="258">
        <f>34857000*0.4</f>
        <v>13942800</v>
      </c>
      <c r="D41" s="324"/>
      <c r="E41" s="255" t="s">
        <v>13</v>
      </c>
      <c r="F41" s="248"/>
      <c r="G41" s="256" t="s">
        <v>396</v>
      </c>
      <c r="H41" s="255" t="s">
        <v>16</v>
      </c>
      <c r="I41" s="256" t="s">
        <v>46</v>
      </c>
      <c r="J41" s="251"/>
    </row>
    <row r="42" spans="1:10" ht="45">
      <c r="A42" s="252" t="s">
        <v>77</v>
      </c>
      <c r="B42" s="253" t="s">
        <v>370</v>
      </c>
      <c r="C42" s="254">
        <v>1187241000</v>
      </c>
      <c r="D42" s="324"/>
      <c r="E42" s="255" t="s">
        <v>389</v>
      </c>
      <c r="F42" s="256" t="s">
        <v>14</v>
      </c>
      <c r="G42" s="256" t="s">
        <v>396</v>
      </c>
      <c r="H42" s="255" t="s">
        <v>16</v>
      </c>
      <c r="I42" s="256" t="s">
        <v>47</v>
      </c>
      <c r="J42" s="261"/>
    </row>
    <row r="43" spans="1:10" ht="31.5">
      <c r="A43" s="252" t="s">
        <v>77</v>
      </c>
      <c r="B43" s="253" t="s">
        <v>372</v>
      </c>
      <c r="C43" s="254">
        <v>38027000</v>
      </c>
      <c r="D43" s="324"/>
      <c r="E43" s="255" t="s">
        <v>13</v>
      </c>
      <c r="F43" s="255"/>
      <c r="G43" s="256" t="s">
        <v>396</v>
      </c>
      <c r="H43" s="255" t="s">
        <v>16</v>
      </c>
      <c r="I43" s="256" t="s">
        <v>48</v>
      </c>
      <c r="J43" s="260"/>
    </row>
    <row r="44" spans="1:10" ht="30">
      <c r="A44" s="252" t="s">
        <v>77</v>
      </c>
      <c r="B44" s="253" t="s">
        <v>51</v>
      </c>
      <c r="C44" s="254">
        <v>3562000</v>
      </c>
      <c r="D44" s="325"/>
      <c r="E44" s="255" t="s">
        <v>13</v>
      </c>
      <c r="F44" s="255"/>
      <c r="G44" s="256" t="s">
        <v>396</v>
      </c>
      <c r="H44" s="255" t="s">
        <v>16</v>
      </c>
      <c r="I44" s="256" t="s">
        <v>46</v>
      </c>
      <c r="J44" s="251"/>
    </row>
    <row r="45" spans="1:10">
      <c r="A45" s="247"/>
      <c r="B45" s="249" t="s">
        <v>64</v>
      </c>
      <c r="C45" s="250">
        <f>ROUND((C29+C33),-3)</f>
        <v>1400000000</v>
      </c>
      <c r="D45" s="248"/>
      <c r="E45" s="248"/>
      <c r="F45" s="248"/>
      <c r="G45" s="248"/>
      <c r="H45" s="248"/>
      <c r="I45" s="248"/>
      <c r="J45" s="251"/>
    </row>
  </sheetData>
  <mergeCells count="8">
    <mergeCell ref="J35:J37"/>
    <mergeCell ref="A25:I25"/>
    <mergeCell ref="A26:I26"/>
    <mergeCell ref="H27:I27"/>
    <mergeCell ref="A1:I1"/>
    <mergeCell ref="A2:I2"/>
    <mergeCell ref="H3:I3"/>
    <mergeCell ref="D30:D44"/>
  </mergeCells>
  <phoneticPr fontId="4"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55" workbookViewId="0">
      <selection activeCell="B61" sqref="B61"/>
    </sheetView>
  </sheetViews>
  <sheetFormatPr defaultColWidth="9" defaultRowHeight="15.75"/>
  <cols>
    <col min="1" max="1" width="4.109375" style="1" customWidth="1"/>
    <col min="2" max="2" width="36.109375" style="1" customWidth="1"/>
    <col min="3" max="3" width="11.77734375" style="1" customWidth="1"/>
    <col min="4" max="4" width="7.109375" style="1" customWidth="1"/>
    <col min="5" max="5" width="11.21875" style="1" customWidth="1"/>
    <col min="6" max="6" width="8.21875" style="1" customWidth="1"/>
    <col min="7" max="7" width="11.109375" style="1" customWidth="1"/>
    <col min="8" max="8" width="8.109375" style="1" customWidth="1"/>
    <col min="9" max="9" width="11.88671875" style="1" customWidth="1"/>
    <col min="10" max="10" width="12.109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312</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42637000</v>
      </c>
      <c r="D5" s="10"/>
      <c r="E5" s="43"/>
      <c r="F5" s="43"/>
      <c r="G5" s="43"/>
      <c r="H5" s="43"/>
      <c r="I5" s="43"/>
      <c r="J5" s="29"/>
    </row>
    <row r="6" spans="1:12" s="33" customFormat="1" ht="31.5" customHeight="1">
      <c r="A6" s="37" t="s">
        <v>77</v>
      </c>
      <c r="B6" s="31" t="s">
        <v>290</v>
      </c>
      <c r="C6" s="21">
        <v>38973000</v>
      </c>
      <c r="D6" s="333" t="s">
        <v>271</v>
      </c>
      <c r="E6" s="44" t="s">
        <v>13</v>
      </c>
      <c r="F6" s="43"/>
      <c r="G6" s="45"/>
      <c r="H6" s="44" t="s">
        <v>16</v>
      </c>
      <c r="I6" s="45" t="s">
        <v>66</v>
      </c>
      <c r="J6" s="32"/>
    </row>
    <row r="7" spans="1:12" s="27" customFormat="1">
      <c r="A7" s="37" t="s">
        <v>77</v>
      </c>
      <c r="B7" s="20" t="s">
        <v>80</v>
      </c>
      <c r="C7" s="21">
        <v>3489000</v>
      </c>
      <c r="D7" s="334"/>
      <c r="E7" s="44" t="s">
        <v>13</v>
      </c>
      <c r="F7" s="46"/>
      <c r="G7" s="46"/>
      <c r="H7" s="44" t="s">
        <v>16</v>
      </c>
      <c r="I7" s="45" t="s">
        <v>17</v>
      </c>
      <c r="J7" s="10"/>
    </row>
    <row r="8" spans="1:12" s="27" customFormat="1">
      <c r="A8" s="37" t="s">
        <v>77</v>
      </c>
      <c r="B8" s="20" t="s">
        <v>61</v>
      </c>
      <c r="C8" s="21">
        <v>175000</v>
      </c>
      <c r="D8" s="334"/>
      <c r="E8" s="46"/>
      <c r="F8" s="46"/>
      <c r="G8" s="46"/>
      <c r="H8" s="46"/>
      <c r="I8" s="46"/>
      <c r="J8" s="10"/>
    </row>
    <row r="9" spans="1:12">
      <c r="A9" s="10" t="s">
        <v>60</v>
      </c>
      <c r="B9" s="26" t="s">
        <v>76</v>
      </c>
      <c r="C9" s="28">
        <f>+C10+C13</f>
        <v>877363000</v>
      </c>
      <c r="D9" s="43"/>
      <c r="E9" s="43"/>
      <c r="F9" s="43"/>
      <c r="G9" s="43"/>
      <c r="H9" s="43"/>
      <c r="I9" s="43"/>
      <c r="J9" s="29"/>
    </row>
    <row r="10" spans="1:12" ht="31.5">
      <c r="A10" s="10" t="s">
        <v>78</v>
      </c>
      <c r="B10" s="26" t="s">
        <v>58</v>
      </c>
      <c r="C10" s="28">
        <f>SUM(C11:C12)</f>
        <v>13483000</v>
      </c>
      <c r="D10" s="43"/>
      <c r="E10" s="43"/>
      <c r="F10" s="43"/>
      <c r="G10" s="43"/>
      <c r="H10" s="43"/>
      <c r="I10" s="43"/>
      <c r="J10" s="29"/>
    </row>
    <row r="11" spans="1:12" s="27" customFormat="1">
      <c r="A11" s="38" t="s">
        <v>77</v>
      </c>
      <c r="B11" s="20" t="s">
        <v>158</v>
      </c>
      <c r="C11" s="21">
        <v>4743000</v>
      </c>
      <c r="D11" s="334"/>
      <c r="E11" s="46"/>
      <c r="F11" s="46"/>
      <c r="G11" s="46"/>
      <c r="H11" s="46"/>
      <c r="I11" s="46"/>
      <c r="J11" s="329"/>
    </row>
    <row r="12" spans="1:12">
      <c r="A12" s="38" t="s">
        <v>77</v>
      </c>
      <c r="B12" s="20" t="s">
        <v>63</v>
      </c>
      <c r="C12" s="21">
        <v>8740000</v>
      </c>
      <c r="D12" s="335"/>
      <c r="E12" s="46"/>
      <c r="F12" s="46"/>
      <c r="G12" s="46"/>
      <c r="H12" s="46"/>
      <c r="I12" s="46"/>
      <c r="J12" s="329"/>
    </row>
    <row r="13" spans="1:12" s="33" customFormat="1" ht="21" customHeight="1">
      <c r="A13" s="10" t="s">
        <v>81</v>
      </c>
      <c r="B13" s="26" t="s">
        <v>59</v>
      </c>
      <c r="C13" s="28">
        <f>ROUND(SUM(C14:C18),-3)</f>
        <v>863880000</v>
      </c>
      <c r="D13" s="43"/>
      <c r="E13" s="43"/>
      <c r="F13" s="43"/>
      <c r="G13" s="43"/>
      <c r="H13" s="43"/>
      <c r="I13" s="43"/>
      <c r="J13" s="29"/>
    </row>
    <row r="14" spans="1:12" s="33" customFormat="1" ht="2.25" hidden="1" customHeight="1">
      <c r="A14" s="37" t="s">
        <v>77</v>
      </c>
      <c r="B14" s="31" t="s">
        <v>40</v>
      </c>
      <c r="C14" s="21">
        <v>0</v>
      </c>
      <c r="D14" s="333" t="s">
        <v>271</v>
      </c>
      <c r="E14" s="44" t="s">
        <v>13</v>
      </c>
      <c r="F14" s="47"/>
      <c r="G14" s="45" t="s">
        <v>283</v>
      </c>
      <c r="H14" s="44" t="s">
        <v>16</v>
      </c>
      <c r="I14" s="45" t="s">
        <v>17</v>
      </c>
      <c r="J14" s="32"/>
      <c r="K14" s="35"/>
      <c r="L14" s="35"/>
    </row>
    <row r="15" spans="1:12" s="33" customFormat="1" ht="30">
      <c r="A15" s="37" t="s">
        <v>77</v>
      </c>
      <c r="B15" s="31" t="s">
        <v>315</v>
      </c>
      <c r="C15" s="21">
        <v>23862000</v>
      </c>
      <c r="D15" s="334"/>
      <c r="E15" s="44" t="s">
        <v>13</v>
      </c>
      <c r="F15" s="47"/>
      <c r="G15" s="45" t="s">
        <v>283</v>
      </c>
      <c r="H15" s="44" t="s">
        <v>16</v>
      </c>
      <c r="I15" s="45" t="s">
        <v>46</v>
      </c>
      <c r="J15" s="34"/>
      <c r="K15" s="35">
        <v>12122000</v>
      </c>
      <c r="L15" s="35">
        <f>+J15+K15</f>
        <v>12122000</v>
      </c>
    </row>
    <row r="16" spans="1:12" ht="45">
      <c r="A16" s="37" t="s">
        <v>77</v>
      </c>
      <c r="B16" s="31" t="s">
        <v>316</v>
      </c>
      <c r="C16" s="21">
        <f>572287000+227470000+20030000</f>
        <v>819787000</v>
      </c>
      <c r="D16" s="334"/>
      <c r="E16" s="44" t="s">
        <v>13</v>
      </c>
      <c r="F16" s="42" t="s">
        <v>14</v>
      </c>
      <c r="G16" s="45" t="s">
        <v>283</v>
      </c>
      <c r="H16" s="44" t="s">
        <v>16</v>
      </c>
      <c r="I16" s="116" t="s">
        <v>313</v>
      </c>
      <c r="J16" s="36" t="s">
        <v>314</v>
      </c>
      <c r="K16" s="24"/>
      <c r="L16" s="24"/>
    </row>
    <row r="17" spans="1:10" ht="31.5">
      <c r="A17" s="37" t="s">
        <v>77</v>
      </c>
      <c r="B17" s="20" t="s">
        <v>317</v>
      </c>
      <c r="C17" s="23">
        <v>18800000</v>
      </c>
      <c r="D17" s="334"/>
      <c r="E17" s="47" t="s">
        <v>13</v>
      </c>
      <c r="F17" s="47"/>
      <c r="G17" s="42" t="s">
        <v>283</v>
      </c>
      <c r="H17" s="47" t="s">
        <v>16</v>
      </c>
      <c r="I17" s="42" t="s">
        <v>319</v>
      </c>
      <c r="J17" s="30"/>
    </row>
    <row r="18" spans="1:10" ht="30">
      <c r="A18" s="37" t="s">
        <v>77</v>
      </c>
      <c r="B18" s="20" t="s">
        <v>318</v>
      </c>
      <c r="C18" s="23">
        <v>1431000</v>
      </c>
      <c r="D18" s="335"/>
      <c r="E18" s="47" t="s">
        <v>13</v>
      </c>
      <c r="F18" s="47"/>
      <c r="G18" s="42" t="s">
        <v>283</v>
      </c>
      <c r="H18" s="47" t="s">
        <v>16</v>
      </c>
      <c r="I18" s="42" t="s">
        <v>46</v>
      </c>
      <c r="J18" s="29"/>
    </row>
    <row r="19" spans="1:10">
      <c r="A19" s="10"/>
      <c r="B19" s="26" t="s">
        <v>64</v>
      </c>
      <c r="C19" s="28">
        <f>ROUND((C5+C9),-3)</f>
        <v>920000000</v>
      </c>
      <c r="D19" s="43"/>
      <c r="E19" s="43"/>
      <c r="F19" s="43"/>
      <c r="G19" s="43"/>
      <c r="H19" s="43"/>
      <c r="I19" s="43"/>
      <c r="J19" s="29"/>
    </row>
    <row r="25" spans="1:10">
      <c r="C25" s="100">
        <v>830000</v>
      </c>
      <c r="D25" s="40"/>
    </row>
    <row r="26" spans="1:10">
      <c r="C26" s="99">
        <v>803000</v>
      </c>
      <c r="D26" s="100">
        <f>+C26-704000-682000</f>
        <v>-583000</v>
      </c>
    </row>
    <row r="27" spans="1:10">
      <c r="C27" s="115">
        <v>3000000</v>
      </c>
    </row>
    <row r="28" spans="1:10">
      <c r="C28" s="100">
        <f>+C19+C25+C26+C27</f>
        <v>924633000</v>
      </c>
    </row>
    <row r="50" spans="1:10" ht="57" customHeight="1"/>
    <row r="51" spans="1:10" ht="50.25" customHeight="1"/>
    <row r="52" spans="1:10" ht="29.25" customHeight="1"/>
    <row r="53" spans="1:10" ht="32.25" hidden="1" customHeight="1"/>
    <row r="54" spans="1:10" ht="22.5" customHeight="1">
      <c r="A54" s="330" t="s">
        <v>27</v>
      </c>
      <c r="B54" s="330"/>
      <c r="C54" s="330"/>
      <c r="D54" s="330"/>
      <c r="E54" s="330"/>
      <c r="F54" s="330"/>
      <c r="G54" s="330"/>
      <c r="H54" s="330"/>
      <c r="I54" s="330"/>
    </row>
    <row r="55" spans="1:10" ht="16.5" customHeight="1">
      <c r="A55" s="340" t="s">
        <v>320</v>
      </c>
      <c r="B55" s="340"/>
      <c r="C55" s="340"/>
      <c r="D55" s="340"/>
      <c r="E55" s="340"/>
      <c r="F55" s="340"/>
      <c r="G55" s="340"/>
      <c r="H55" s="340"/>
      <c r="I55" s="340"/>
      <c r="J55" s="340"/>
    </row>
    <row r="56" spans="1:10" ht="63">
      <c r="A56" s="10" t="s">
        <v>21</v>
      </c>
      <c r="B56" s="10" t="s">
        <v>0</v>
      </c>
      <c r="C56" s="10" t="s">
        <v>83</v>
      </c>
      <c r="D56" s="10" t="s">
        <v>1</v>
      </c>
      <c r="E56" s="10" t="s">
        <v>2</v>
      </c>
      <c r="F56" s="10" t="s">
        <v>3</v>
      </c>
      <c r="G56" s="10" t="s">
        <v>4</v>
      </c>
      <c r="H56" s="10" t="s">
        <v>5</v>
      </c>
      <c r="I56" s="10" t="s">
        <v>6</v>
      </c>
      <c r="J56" s="10" t="s">
        <v>65</v>
      </c>
    </row>
    <row r="57" spans="1:10">
      <c r="A57" s="10" t="s">
        <v>57</v>
      </c>
      <c r="B57" s="26" t="s">
        <v>75</v>
      </c>
      <c r="C57" s="28">
        <f>SUM(C58:C60)</f>
        <v>42637000</v>
      </c>
      <c r="D57" s="10"/>
      <c r="E57" s="43"/>
      <c r="F57" s="43"/>
      <c r="G57" s="43"/>
      <c r="H57" s="43"/>
      <c r="I57" s="43"/>
      <c r="J57" s="29"/>
    </row>
    <row r="58" spans="1:10">
      <c r="A58" s="37" t="s">
        <v>77</v>
      </c>
      <c r="B58" s="31" t="s">
        <v>290</v>
      </c>
      <c r="C58" s="21">
        <v>38973000</v>
      </c>
      <c r="D58" s="333" t="s">
        <v>271</v>
      </c>
      <c r="E58" s="44" t="s">
        <v>13</v>
      </c>
      <c r="F58" s="43"/>
      <c r="G58" s="45"/>
      <c r="H58" s="44" t="s">
        <v>16</v>
      </c>
      <c r="I58" s="45" t="s">
        <v>66</v>
      </c>
      <c r="J58" s="32"/>
    </row>
    <row r="59" spans="1:10">
      <c r="A59" s="37" t="s">
        <v>77</v>
      </c>
      <c r="B59" s="20" t="s">
        <v>80</v>
      </c>
      <c r="C59" s="21">
        <v>3489000</v>
      </c>
      <c r="D59" s="334"/>
      <c r="E59" s="44" t="s">
        <v>13</v>
      </c>
      <c r="F59" s="46"/>
      <c r="G59" s="46"/>
      <c r="H59" s="44" t="s">
        <v>16</v>
      </c>
      <c r="I59" s="45" t="s">
        <v>17</v>
      </c>
      <c r="J59" s="10"/>
    </row>
    <row r="60" spans="1:10">
      <c r="A60" s="37" t="s">
        <v>77</v>
      </c>
      <c r="B60" s="20" t="s">
        <v>61</v>
      </c>
      <c r="C60" s="21">
        <v>175000</v>
      </c>
      <c r="D60" s="334"/>
      <c r="E60" s="46"/>
      <c r="F60" s="46"/>
      <c r="G60" s="46"/>
      <c r="H60" s="46"/>
      <c r="I60" s="46"/>
      <c r="J60" s="10"/>
    </row>
    <row r="61" spans="1:10">
      <c r="A61" s="10" t="s">
        <v>60</v>
      </c>
      <c r="B61" s="26" t="s">
        <v>76</v>
      </c>
      <c r="C61" s="28">
        <f>+C62+C65</f>
        <v>877363000</v>
      </c>
      <c r="D61" s="43"/>
      <c r="E61" s="43"/>
      <c r="F61" s="43"/>
      <c r="G61" s="43"/>
      <c r="H61" s="43"/>
      <c r="I61" s="43"/>
      <c r="J61" s="29"/>
    </row>
    <row r="62" spans="1:10" ht="31.5">
      <c r="A62" s="10" t="s">
        <v>78</v>
      </c>
      <c r="B62" s="26" t="s">
        <v>58</v>
      </c>
      <c r="C62" s="28">
        <f>SUM(C63:C64)</f>
        <v>13483000</v>
      </c>
      <c r="D62" s="43"/>
      <c r="E62" s="43"/>
      <c r="F62" s="43"/>
      <c r="G62" s="43"/>
      <c r="H62" s="43"/>
      <c r="I62" s="43"/>
      <c r="J62" s="29"/>
    </row>
    <row r="63" spans="1:10">
      <c r="A63" s="38" t="s">
        <v>77</v>
      </c>
      <c r="B63" s="20" t="s">
        <v>158</v>
      </c>
      <c r="C63" s="21">
        <v>4743000</v>
      </c>
      <c r="D63" s="334"/>
      <c r="E63" s="46"/>
      <c r="F63" s="46"/>
      <c r="G63" s="46"/>
      <c r="H63" s="46"/>
      <c r="I63" s="46"/>
      <c r="J63" s="329"/>
    </row>
    <row r="64" spans="1:10">
      <c r="A64" s="38" t="s">
        <v>77</v>
      </c>
      <c r="B64" s="20" t="s">
        <v>63</v>
      </c>
      <c r="C64" s="21">
        <v>8740000</v>
      </c>
      <c r="D64" s="335"/>
      <c r="E64" s="46"/>
      <c r="F64" s="46"/>
      <c r="G64" s="46"/>
      <c r="H64" s="46"/>
      <c r="I64" s="46"/>
      <c r="J64" s="329"/>
    </row>
    <row r="65" spans="1:10" ht="13.5" customHeight="1">
      <c r="A65" s="10" t="s">
        <v>81</v>
      </c>
      <c r="B65" s="26" t="s">
        <v>59</v>
      </c>
      <c r="C65" s="28">
        <f>ROUND(SUM(C66:C70),-3)</f>
        <v>863880000</v>
      </c>
      <c r="D65" s="43"/>
      <c r="E65" s="43"/>
      <c r="F65" s="43"/>
      <c r="G65" s="43"/>
      <c r="H65" s="43"/>
      <c r="I65" s="43"/>
      <c r="J65" s="29"/>
    </row>
    <row r="66" spans="1:10" ht="31.5" hidden="1">
      <c r="A66" s="37" t="s">
        <v>77</v>
      </c>
      <c r="B66" s="31" t="s">
        <v>40</v>
      </c>
      <c r="C66" s="21">
        <v>0</v>
      </c>
      <c r="D66" s="333" t="s">
        <v>271</v>
      </c>
      <c r="E66" s="44" t="s">
        <v>13</v>
      </c>
      <c r="F66" s="47"/>
      <c r="G66" s="45" t="s">
        <v>283</v>
      </c>
      <c r="H66" s="44" t="s">
        <v>16</v>
      </c>
      <c r="I66" s="45" t="s">
        <v>17</v>
      </c>
      <c r="J66" s="32"/>
    </row>
    <row r="67" spans="1:10" ht="30">
      <c r="A67" s="37" t="s">
        <v>77</v>
      </c>
      <c r="B67" s="31" t="s">
        <v>315</v>
      </c>
      <c r="C67" s="21">
        <v>23862000</v>
      </c>
      <c r="D67" s="334"/>
      <c r="E67" s="44" t="s">
        <v>13</v>
      </c>
      <c r="F67" s="47"/>
      <c r="G67" s="45" t="s">
        <v>283</v>
      </c>
      <c r="H67" s="44" t="s">
        <v>16</v>
      </c>
      <c r="I67" s="45" t="s">
        <v>46</v>
      </c>
      <c r="J67" s="34"/>
    </row>
    <row r="68" spans="1:10" ht="45">
      <c r="A68" s="37" t="s">
        <v>77</v>
      </c>
      <c r="B68" s="31" t="s">
        <v>316</v>
      </c>
      <c r="C68" s="21">
        <f>572287000+227470000+20030000</f>
        <v>819787000</v>
      </c>
      <c r="D68" s="334"/>
      <c r="E68" s="44" t="s">
        <v>13</v>
      </c>
      <c r="F68" s="42" t="s">
        <v>14</v>
      </c>
      <c r="G68" s="45" t="s">
        <v>283</v>
      </c>
      <c r="H68" s="44" t="s">
        <v>16</v>
      </c>
      <c r="I68" s="116" t="s">
        <v>313</v>
      </c>
      <c r="J68" s="36" t="s">
        <v>314</v>
      </c>
    </row>
    <row r="69" spans="1:10" ht="31.5">
      <c r="A69" s="37" t="s">
        <v>77</v>
      </c>
      <c r="B69" s="20" t="s">
        <v>317</v>
      </c>
      <c r="C69" s="23">
        <v>18800000</v>
      </c>
      <c r="D69" s="334"/>
      <c r="E69" s="47" t="s">
        <v>13</v>
      </c>
      <c r="F69" s="47"/>
      <c r="G69" s="42" t="s">
        <v>283</v>
      </c>
      <c r="H69" s="47" t="s">
        <v>16</v>
      </c>
      <c r="I69" s="42" t="s">
        <v>319</v>
      </c>
      <c r="J69" s="30"/>
    </row>
    <row r="70" spans="1:10" ht="30">
      <c r="A70" s="37" t="s">
        <v>77</v>
      </c>
      <c r="B70" s="20" t="s">
        <v>318</v>
      </c>
      <c r="C70" s="23">
        <v>1431000</v>
      </c>
      <c r="D70" s="335"/>
      <c r="E70" s="47" t="s">
        <v>13</v>
      </c>
      <c r="F70" s="47"/>
      <c r="G70" s="42" t="s">
        <v>283</v>
      </c>
      <c r="H70" s="47" t="s">
        <v>16</v>
      </c>
      <c r="I70" s="42" t="s">
        <v>46</v>
      </c>
      <c r="J70" s="29"/>
    </row>
    <row r="71" spans="1:10">
      <c r="A71" s="10"/>
      <c r="B71" s="26" t="s">
        <v>64</v>
      </c>
      <c r="C71" s="28">
        <f>ROUND((C57+C61),-3)</f>
        <v>920000000</v>
      </c>
      <c r="D71" s="43"/>
      <c r="E71" s="43"/>
      <c r="F71" s="43"/>
      <c r="G71" s="43"/>
      <c r="H71" s="43"/>
      <c r="I71" s="43"/>
      <c r="J71" s="29"/>
    </row>
  </sheetData>
  <mergeCells count="13">
    <mergeCell ref="A1:I1"/>
    <mergeCell ref="A2:I2"/>
    <mergeCell ref="H3:I3"/>
    <mergeCell ref="D6:D8"/>
    <mergeCell ref="D58:D60"/>
    <mergeCell ref="D63:D64"/>
    <mergeCell ref="J63:J64"/>
    <mergeCell ref="D66:D70"/>
    <mergeCell ref="A55:J55"/>
    <mergeCell ref="D11:D12"/>
    <mergeCell ref="J11:J12"/>
    <mergeCell ref="D14:D18"/>
    <mergeCell ref="A54:I54"/>
  </mergeCells>
  <phoneticPr fontId="4" type="noConversion"/>
  <pageMargins left="0.46" right="0.2" top="0.68" bottom="0.59"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topLeftCell="A77" workbookViewId="0">
      <selection activeCell="A77" sqref="A1:IV65536"/>
    </sheetView>
  </sheetViews>
  <sheetFormatPr defaultColWidth="9" defaultRowHeight="15.75"/>
  <cols>
    <col min="1" max="1" width="4.109375" style="1" customWidth="1"/>
    <col min="2" max="2" width="36.109375" style="1" customWidth="1"/>
    <col min="3" max="3" width="11.77734375" style="1" customWidth="1"/>
    <col min="4" max="4" width="7.109375" style="1" customWidth="1"/>
    <col min="5" max="5" width="11.21875" style="1" customWidth="1"/>
    <col min="6" max="6" width="8.21875" style="1" customWidth="1"/>
    <col min="7" max="7" width="13.88671875" style="1" customWidth="1"/>
    <col min="8" max="8" width="8.109375" style="1" customWidth="1"/>
    <col min="9" max="9" width="11.88671875" style="1" customWidth="1"/>
    <col min="10" max="10" width="12.109375"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298</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SUM(C6:C10)</f>
        <v>243988000</v>
      </c>
      <c r="D5" s="10"/>
      <c r="E5" s="43"/>
      <c r="F5" s="43"/>
      <c r="G5" s="43"/>
      <c r="H5" s="43"/>
      <c r="I5" s="43"/>
      <c r="J5" s="29"/>
    </row>
    <row r="6" spans="1:10" s="33" customFormat="1" ht="31.5" customHeight="1">
      <c r="A6" s="37" t="s">
        <v>77</v>
      </c>
      <c r="B6" s="31" t="s">
        <v>301</v>
      </c>
      <c r="C6" s="21">
        <f>39973000+54880000+81141000+55771000</f>
        <v>231765000</v>
      </c>
      <c r="D6" s="333" t="s">
        <v>271</v>
      </c>
      <c r="E6" s="44" t="s">
        <v>13</v>
      </c>
      <c r="F6" s="43"/>
      <c r="G6" s="45"/>
      <c r="H6" s="44" t="s">
        <v>16</v>
      </c>
      <c r="I6" s="45" t="s">
        <v>66</v>
      </c>
      <c r="J6" s="32"/>
    </row>
    <row r="7" spans="1:10" s="27" customFormat="1">
      <c r="A7" s="37" t="s">
        <v>77</v>
      </c>
      <c r="B7" s="20" t="s">
        <v>80</v>
      </c>
      <c r="C7" s="21">
        <f>3567000+3453000</f>
        <v>7020000</v>
      </c>
      <c r="D7" s="334"/>
      <c r="E7" s="44" t="s">
        <v>13</v>
      </c>
      <c r="F7" s="46"/>
      <c r="G7" s="46"/>
      <c r="H7" s="44" t="s">
        <v>16</v>
      </c>
      <c r="I7" s="45" t="s">
        <v>17</v>
      </c>
      <c r="J7" s="10"/>
    </row>
    <row r="8" spans="1:10" s="27" customFormat="1">
      <c r="A8" s="37" t="s">
        <v>77</v>
      </c>
      <c r="B8" s="20" t="s">
        <v>304</v>
      </c>
      <c r="C8" s="21">
        <v>3000000</v>
      </c>
      <c r="D8" s="334"/>
      <c r="E8" s="44" t="s">
        <v>13</v>
      </c>
      <c r="F8" s="46"/>
      <c r="G8" s="46"/>
      <c r="H8" s="44" t="s">
        <v>16</v>
      </c>
      <c r="I8" s="45" t="s">
        <v>309</v>
      </c>
      <c r="J8" s="10"/>
    </row>
    <row r="9" spans="1:10" s="27" customFormat="1">
      <c r="A9" s="37" t="s">
        <v>77</v>
      </c>
      <c r="B9" s="20" t="s">
        <v>61</v>
      </c>
      <c r="C9" s="21">
        <v>570000</v>
      </c>
      <c r="D9" s="334"/>
      <c r="E9" s="46"/>
      <c r="F9" s="46"/>
      <c r="G9" s="46"/>
      <c r="H9" s="46"/>
      <c r="I9" s="46"/>
      <c r="J9" s="10"/>
    </row>
    <row r="10" spans="1:10" s="27" customFormat="1">
      <c r="A10" s="37" t="s">
        <v>77</v>
      </c>
      <c r="B10" s="20" t="s">
        <v>303</v>
      </c>
      <c r="C10" s="21">
        <f>830000+803000</f>
        <v>1633000</v>
      </c>
      <c r="D10" s="335"/>
      <c r="E10" s="46"/>
      <c r="F10" s="46"/>
      <c r="G10" s="46"/>
      <c r="H10" s="46"/>
      <c r="I10" s="46"/>
      <c r="J10" s="10"/>
    </row>
    <row r="11" spans="1:10">
      <c r="A11" s="10" t="s">
        <v>60</v>
      </c>
      <c r="B11" s="26" t="s">
        <v>76</v>
      </c>
      <c r="C11" s="28">
        <f>+C12+C16</f>
        <v>2756012000</v>
      </c>
      <c r="D11" s="43"/>
      <c r="E11" s="43"/>
      <c r="F11" s="43"/>
      <c r="G11" s="43"/>
      <c r="H11" s="43"/>
      <c r="I11" s="43"/>
      <c r="J11" s="29"/>
    </row>
    <row r="12" spans="1:10" ht="31.5">
      <c r="A12" s="10" t="s">
        <v>78</v>
      </c>
      <c r="B12" s="26" t="s">
        <v>58</v>
      </c>
      <c r="C12" s="28">
        <f>SUM(C13:C15)</f>
        <v>269840000</v>
      </c>
      <c r="D12" s="43"/>
      <c r="E12" s="43"/>
      <c r="F12" s="43"/>
      <c r="G12" s="43"/>
      <c r="H12" s="43"/>
      <c r="I12" s="43"/>
      <c r="J12" s="29"/>
    </row>
    <row r="13" spans="1:10" s="27" customFormat="1">
      <c r="A13" s="38" t="s">
        <v>77</v>
      </c>
      <c r="B13" s="20" t="s">
        <v>79</v>
      </c>
      <c r="C13" s="21">
        <v>2000000</v>
      </c>
      <c r="D13" s="333" t="s">
        <v>271</v>
      </c>
      <c r="E13" s="46"/>
      <c r="F13" s="46"/>
      <c r="G13" s="46"/>
      <c r="H13" s="46"/>
      <c r="I13" s="46"/>
      <c r="J13" s="329"/>
    </row>
    <row r="14" spans="1:10" s="27" customFormat="1">
      <c r="A14" s="38" t="s">
        <v>77</v>
      </c>
      <c r="B14" s="20" t="s">
        <v>158</v>
      </c>
      <c r="C14" s="21">
        <v>239340000</v>
      </c>
      <c r="D14" s="334"/>
      <c r="E14" s="46"/>
      <c r="F14" s="46"/>
      <c r="G14" s="46"/>
      <c r="H14" s="46"/>
      <c r="I14" s="46"/>
      <c r="J14" s="329"/>
    </row>
    <row r="15" spans="1:10">
      <c r="A15" s="38" t="s">
        <v>77</v>
      </c>
      <c r="B15" s="20" t="s">
        <v>63</v>
      </c>
      <c r="C15" s="21">
        <v>28500000</v>
      </c>
      <c r="D15" s="335"/>
      <c r="E15" s="46"/>
      <c r="F15" s="46"/>
      <c r="G15" s="46"/>
      <c r="H15" s="46"/>
      <c r="I15" s="46"/>
      <c r="J15" s="329"/>
    </row>
    <row r="16" spans="1:10" s="33" customFormat="1">
      <c r="A16" s="10" t="s">
        <v>81</v>
      </c>
      <c r="B16" s="26" t="s">
        <v>59</v>
      </c>
      <c r="C16" s="28">
        <f>ROUND(SUM(C17:C21),-3)</f>
        <v>2486172000</v>
      </c>
      <c r="D16" s="43"/>
      <c r="E16" s="43"/>
      <c r="F16" s="43"/>
      <c r="G16" s="43"/>
      <c r="H16" s="43"/>
      <c r="I16" s="43"/>
      <c r="J16" s="29"/>
    </row>
    <row r="17" spans="1:12" s="33" customFormat="1" ht="31.5">
      <c r="A17" s="37" t="s">
        <v>77</v>
      </c>
      <c r="B17" s="31" t="s">
        <v>305</v>
      </c>
      <c r="C17" s="21">
        <f>3066000+3747000</f>
        <v>6813000</v>
      </c>
      <c r="D17" s="333" t="s">
        <v>271</v>
      </c>
      <c r="E17" s="44" t="s">
        <v>13</v>
      </c>
      <c r="F17" s="47"/>
      <c r="G17" s="45" t="s">
        <v>283</v>
      </c>
      <c r="H17" s="44" t="s">
        <v>16</v>
      </c>
      <c r="I17" s="45" t="s">
        <v>17</v>
      </c>
      <c r="J17" s="32"/>
      <c r="K17" s="35"/>
      <c r="L17" s="35"/>
    </row>
    <row r="18" spans="1:12" s="33" customFormat="1">
      <c r="A18" s="37" t="s">
        <v>77</v>
      </c>
      <c r="B18" s="31" t="s">
        <v>306</v>
      </c>
      <c r="C18" s="21">
        <v>71092000</v>
      </c>
      <c r="D18" s="334"/>
      <c r="E18" s="44" t="s">
        <v>13</v>
      </c>
      <c r="F18" s="47"/>
      <c r="G18" s="45" t="s">
        <v>283</v>
      </c>
      <c r="H18" s="44" t="s">
        <v>16</v>
      </c>
      <c r="I18" s="45" t="s">
        <v>46</v>
      </c>
      <c r="J18" s="34"/>
      <c r="K18" s="35">
        <v>12122000</v>
      </c>
      <c r="L18" s="35">
        <f>+J18+K18</f>
        <v>12122000</v>
      </c>
    </row>
    <row r="19" spans="1:12" ht="45">
      <c r="A19" s="37" t="s">
        <v>77</v>
      </c>
      <c r="B19" s="31" t="s">
        <v>307</v>
      </c>
      <c r="C19" s="21">
        <f>1887057000+400334000+68622000</f>
        <v>2356013000</v>
      </c>
      <c r="D19" s="334"/>
      <c r="E19" s="44" t="s">
        <v>72</v>
      </c>
      <c r="F19" s="42" t="s">
        <v>14</v>
      </c>
      <c r="G19" s="45" t="s">
        <v>283</v>
      </c>
      <c r="H19" s="44" t="s">
        <v>16</v>
      </c>
      <c r="I19" s="116" t="s">
        <v>153</v>
      </c>
      <c r="J19" s="36" t="s">
        <v>204</v>
      </c>
      <c r="K19" s="24"/>
      <c r="L19" s="24"/>
    </row>
    <row r="20" spans="1:12" ht="31.5">
      <c r="A20" s="37" t="s">
        <v>77</v>
      </c>
      <c r="B20" s="20" t="s">
        <v>308</v>
      </c>
      <c r="C20" s="23">
        <f>39232000+2298000+3862000</f>
        <v>45392000</v>
      </c>
      <c r="D20" s="334"/>
      <c r="E20" s="47" t="s">
        <v>13</v>
      </c>
      <c r="F20" s="47"/>
      <c r="G20" s="42" t="s">
        <v>283</v>
      </c>
      <c r="H20" s="47" t="s">
        <v>16</v>
      </c>
      <c r="I20" s="42" t="s">
        <v>302</v>
      </c>
      <c r="J20" s="30"/>
    </row>
    <row r="21" spans="1:12">
      <c r="A21" s="37" t="s">
        <v>77</v>
      </c>
      <c r="B21" s="20" t="s">
        <v>51</v>
      </c>
      <c r="C21" s="23">
        <v>6862000</v>
      </c>
      <c r="D21" s="335"/>
      <c r="E21" s="47" t="s">
        <v>13</v>
      </c>
      <c r="F21" s="47"/>
      <c r="G21" s="42" t="s">
        <v>283</v>
      </c>
      <c r="H21" s="47" t="s">
        <v>16</v>
      </c>
      <c r="I21" s="42" t="s">
        <v>46</v>
      </c>
      <c r="J21" s="29"/>
    </row>
    <row r="22" spans="1:12">
      <c r="A22" s="10"/>
      <c r="B22" s="26" t="s">
        <v>64</v>
      </c>
      <c r="C22" s="28">
        <f>ROUND((C5+C11),-3)</f>
        <v>3000000000</v>
      </c>
      <c r="D22" s="43"/>
      <c r="E22" s="43"/>
      <c r="F22" s="43"/>
      <c r="G22" s="43"/>
      <c r="H22" s="43"/>
      <c r="I22" s="43"/>
      <c r="J22" s="29"/>
    </row>
    <row r="28" spans="1:12">
      <c r="C28" s="100">
        <v>830000</v>
      </c>
      <c r="D28" s="40"/>
    </row>
    <row r="29" spans="1:12">
      <c r="C29" s="99">
        <v>803000</v>
      </c>
      <c r="D29" s="100">
        <f>+C29-704000-682000</f>
        <v>-583000</v>
      </c>
    </row>
    <row r="30" spans="1:12">
      <c r="C30" s="115">
        <v>3000000</v>
      </c>
    </row>
    <row r="31" spans="1:12">
      <c r="C31" s="100">
        <f>+C22+C28+C29+C30</f>
        <v>3004633000</v>
      </c>
    </row>
    <row r="53" spans="1:11" ht="57" customHeight="1"/>
    <row r="54" spans="1:11" ht="50.25" customHeight="1"/>
    <row r="55" spans="1:11" ht="29.25" customHeight="1"/>
    <row r="56" spans="1:11" ht="32.25" hidden="1" customHeight="1"/>
    <row r="57" spans="1:11" ht="22.5" customHeight="1">
      <c r="A57" s="330" t="s">
        <v>27</v>
      </c>
      <c r="B57" s="330"/>
      <c r="C57" s="330"/>
      <c r="D57" s="330"/>
      <c r="E57" s="330"/>
      <c r="F57" s="330"/>
      <c r="G57" s="330"/>
      <c r="H57" s="330"/>
      <c r="I57" s="330"/>
    </row>
    <row r="58" spans="1:11" ht="16.5" customHeight="1">
      <c r="A58" s="340" t="s">
        <v>310</v>
      </c>
      <c r="B58" s="340"/>
      <c r="C58" s="340"/>
      <c r="D58" s="340"/>
      <c r="E58" s="340"/>
      <c r="F58" s="340"/>
      <c r="G58" s="340"/>
      <c r="H58" s="340"/>
      <c r="I58" s="340"/>
      <c r="J58" s="340"/>
    </row>
    <row r="59" spans="1:11" ht="63">
      <c r="A59" s="10" t="s">
        <v>21</v>
      </c>
      <c r="B59" s="10" t="s">
        <v>0</v>
      </c>
      <c r="C59" s="10" t="s">
        <v>83</v>
      </c>
      <c r="D59" s="10" t="s">
        <v>1</v>
      </c>
      <c r="E59" s="10" t="s">
        <v>2</v>
      </c>
      <c r="F59" s="10" t="s">
        <v>3</v>
      </c>
      <c r="G59" s="10" t="s">
        <v>4</v>
      </c>
      <c r="H59" s="10" t="s">
        <v>5</v>
      </c>
      <c r="I59" s="10" t="s">
        <v>6</v>
      </c>
      <c r="J59" s="10" t="s">
        <v>65</v>
      </c>
    </row>
    <row r="60" spans="1:11">
      <c r="A60" s="10" t="s">
        <v>57</v>
      </c>
      <c r="B60" s="26" t="s">
        <v>75</v>
      </c>
      <c r="C60" s="28">
        <f>SUM(C61:C65)</f>
        <v>243988000</v>
      </c>
      <c r="D60" s="10"/>
      <c r="E60" s="43"/>
      <c r="F60" s="43"/>
      <c r="G60" s="43"/>
      <c r="H60" s="43"/>
      <c r="I60" s="43"/>
      <c r="J60" s="29"/>
    </row>
    <row r="61" spans="1:11" ht="31.5">
      <c r="A61" s="37" t="s">
        <v>77</v>
      </c>
      <c r="B61" s="31" t="s">
        <v>301</v>
      </c>
      <c r="C61" s="21">
        <f>39973000+54880000+81141000+55771000</f>
        <v>231765000</v>
      </c>
      <c r="D61" s="333" t="s">
        <v>271</v>
      </c>
      <c r="E61" s="44" t="s">
        <v>13</v>
      </c>
      <c r="F61" s="43"/>
      <c r="G61" s="45"/>
      <c r="H61" s="44" t="s">
        <v>16</v>
      </c>
      <c r="I61" s="45" t="s">
        <v>66</v>
      </c>
      <c r="J61" s="32"/>
      <c r="K61" s="33"/>
    </row>
    <row r="62" spans="1:11">
      <c r="A62" s="37" t="s">
        <v>77</v>
      </c>
      <c r="B62" s="20" t="s">
        <v>80</v>
      </c>
      <c r="C62" s="21">
        <f>3567000+3453000</f>
        <v>7020000</v>
      </c>
      <c r="D62" s="334"/>
      <c r="E62" s="44" t="s">
        <v>13</v>
      </c>
      <c r="F62" s="46"/>
      <c r="G62" s="46"/>
      <c r="H62" s="44" t="s">
        <v>16</v>
      </c>
      <c r="I62" s="45" t="s">
        <v>17</v>
      </c>
      <c r="J62" s="10"/>
      <c r="K62" s="27"/>
    </row>
    <row r="63" spans="1:11">
      <c r="A63" s="37" t="s">
        <v>77</v>
      </c>
      <c r="B63" s="20" t="s">
        <v>304</v>
      </c>
      <c r="C63" s="21">
        <v>3000000</v>
      </c>
      <c r="D63" s="334"/>
      <c r="E63" s="44" t="s">
        <v>13</v>
      </c>
      <c r="F63" s="46"/>
      <c r="G63" s="46"/>
      <c r="H63" s="44" t="s">
        <v>16</v>
      </c>
      <c r="I63" s="45" t="s">
        <v>309</v>
      </c>
      <c r="J63" s="10"/>
      <c r="K63" s="27"/>
    </row>
    <row r="64" spans="1:11">
      <c r="A64" s="37" t="s">
        <v>77</v>
      </c>
      <c r="B64" s="20" t="s">
        <v>61</v>
      </c>
      <c r="C64" s="21">
        <v>570000</v>
      </c>
      <c r="D64" s="334"/>
      <c r="E64" s="46"/>
      <c r="F64" s="46"/>
      <c r="G64" s="46"/>
      <c r="H64" s="46"/>
      <c r="I64" s="46"/>
      <c r="J64" s="10"/>
    </row>
    <row r="65" spans="1:11">
      <c r="A65" s="37" t="s">
        <v>77</v>
      </c>
      <c r="B65" s="20" t="s">
        <v>303</v>
      </c>
      <c r="C65" s="21">
        <f>830000+803000</f>
        <v>1633000</v>
      </c>
      <c r="D65" s="335"/>
      <c r="E65" s="46"/>
      <c r="F65" s="46"/>
      <c r="G65" s="46"/>
      <c r="H65" s="46"/>
      <c r="I65" s="46"/>
      <c r="J65" s="10"/>
    </row>
    <row r="66" spans="1:11" ht="31.5" customHeight="1">
      <c r="A66" s="10" t="s">
        <v>60</v>
      </c>
      <c r="B66" s="26" t="s">
        <v>76</v>
      </c>
      <c r="C66" s="28">
        <f>+C67+C71</f>
        <v>2756012000</v>
      </c>
      <c r="D66" s="43"/>
      <c r="E66" s="43"/>
      <c r="F66" s="43"/>
      <c r="G66" s="43"/>
      <c r="H66" s="43"/>
      <c r="I66" s="43"/>
      <c r="J66" s="29"/>
      <c r="K66" s="27"/>
    </row>
    <row r="67" spans="1:11" ht="31.5" customHeight="1">
      <c r="A67" s="10" t="s">
        <v>78</v>
      </c>
      <c r="B67" s="26" t="s">
        <v>58</v>
      </c>
      <c r="C67" s="28">
        <f>SUM(C68:C70)</f>
        <v>269840000</v>
      </c>
      <c r="D67" s="43"/>
      <c r="E67" s="43"/>
      <c r="F67" s="43"/>
      <c r="G67" s="43"/>
      <c r="H67" s="43"/>
      <c r="I67" s="43"/>
      <c r="J67" s="29"/>
      <c r="K67" s="27"/>
    </row>
    <row r="68" spans="1:11">
      <c r="A68" s="38" t="s">
        <v>77</v>
      </c>
      <c r="B68" s="20" t="s">
        <v>79</v>
      </c>
      <c r="C68" s="21">
        <v>2000000</v>
      </c>
      <c r="D68" s="333" t="s">
        <v>271</v>
      </c>
      <c r="E68" s="46"/>
      <c r="F68" s="46"/>
      <c r="G68" s="46"/>
      <c r="H68" s="46"/>
      <c r="I68" s="46"/>
      <c r="J68" s="329"/>
      <c r="K68" s="27"/>
    </row>
    <row r="69" spans="1:11">
      <c r="A69" s="38" t="s">
        <v>77</v>
      </c>
      <c r="B69" s="20" t="s">
        <v>158</v>
      </c>
      <c r="C69" s="21">
        <v>239340000</v>
      </c>
      <c r="D69" s="334"/>
      <c r="E69" s="46"/>
      <c r="F69" s="46"/>
      <c r="G69" s="46"/>
      <c r="H69" s="46"/>
      <c r="I69" s="46"/>
      <c r="J69" s="329"/>
    </row>
    <row r="70" spans="1:11">
      <c r="A70" s="38" t="s">
        <v>77</v>
      </c>
      <c r="B70" s="20" t="s">
        <v>63</v>
      </c>
      <c r="C70" s="21">
        <v>28500000</v>
      </c>
      <c r="D70" s="335"/>
      <c r="E70" s="46"/>
      <c r="F70" s="46"/>
      <c r="G70" s="46"/>
      <c r="H70" s="46"/>
      <c r="I70" s="46"/>
      <c r="J70" s="329"/>
      <c r="K70" s="33"/>
    </row>
    <row r="71" spans="1:11" ht="31.5" customHeight="1">
      <c r="A71" s="10" t="s">
        <v>81</v>
      </c>
      <c r="B71" s="26" t="s">
        <v>59</v>
      </c>
      <c r="C71" s="28">
        <f>ROUND(SUM(C72:C76),-3)</f>
        <v>2486172000</v>
      </c>
      <c r="D71" s="43"/>
      <c r="E71" s="43"/>
      <c r="F71" s="43"/>
      <c r="G71" s="43"/>
      <c r="H71" s="43"/>
      <c r="I71" s="43"/>
      <c r="J71" s="29"/>
      <c r="K71" s="35"/>
    </row>
    <row r="72" spans="1:11" ht="31.5">
      <c r="A72" s="37" t="s">
        <v>77</v>
      </c>
      <c r="B72" s="31" t="s">
        <v>305</v>
      </c>
      <c r="C72" s="21">
        <f>3066000+3747000</f>
        <v>6813000</v>
      </c>
      <c r="D72" s="333" t="s">
        <v>271</v>
      </c>
      <c r="E72" s="44" t="s">
        <v>13</v>
      </c>
      <c r="F72" s="47"/>
      <c r="G72" s="45" t="s">
        <v>283</v>
      </c>
      <c r="H72" s="44" t="s">
        <v>16</v>
      </c>
      <c r="I72" s="45" t="s">
        <v>17</v>
      </c>
      <c r="J72" s="32"/>
      <c r="K72" s="35">
        <v>12122000</v>
      </c>
    </row>
    <row r="73" spans="1:11">
      <c r="A73" s="37" t="s">
        <v>77</v>
      </c>
      <c r="B73" s="31" t="s">
        <v>306</v>
      </c>
      <c r="C73" s="21">
        <v>71092000</v>
      </c>
      <c r="D73" s="334"/>
      <c r="E73" s="44" t="s">
        <v>13</v>
      </c>
      <c r="F73" s="47"/>
      <c r="G73" s="45" t="s">
        <v>283</v>
      </c>
      <c r="H73" s="44" t="s">
        <v>16</v>
      </c>
      <c r="I73" s="45" t="s">
        <v>46</v>
      </c>
      <c r="J73" s="34"/>
      <c r="K73" s="24"/>
    </row>
    <row r="74" spans="1:11" ht="42.75" customHeight="1">
      <c r="A74" s="37" t="s">
        <v>77</v>
      </c>
      <c r="B74" s="31" t="s">
        <v>307</v>
      </c>
      <c r="C74" s="21">
        <f>1887057000+400334000+68622000</f>
        <v>2356013000</v>
      </c>
      <c r="D74" s="334"/>
      <c r="E74" s="44" t="s">
        <v>72</v>
      </c>
      <c r="F74" s="42" t="s">
        <v>14</v>
      </c>
      <c r="G74" s="45" t="s">
        <v>283</v>
      </c>
      <c r="H74" s="44" t="s">
        <v>16</v>
      </c>
      <c r="I74" s="116" t="s">
        <v>153</v>
      </c>
      <c r="J74" s="36" t="s">
        <v>204</v>
      </c>
    </row>
    <row r="75" spans="1:11" ht="31.5">
      <c r="A75" s="37" t="s">
        <v>77</v>
      </c>
      <c r="B75" s="20" t="s">
        <v>308</v>
      </c>
      <c r="C75" s="23">
        <f>39232000+2298000+3862000</f>
        <v>45392000</v>
      </c>
      <c r="D75" s="334"/>
      <c r="E75" s="47" t="s">
        <v>13</v>
      </c>
      <c r="F75" s="47"/>
      <c r="G75" s="42" t="s">
        <v>283</v>
      </c>
      <c r="H75" s="47" t="s">
        <v>16</v>
      </c>
      <c r="I75" s="42" t="s">
        <v>302</v>
      </c>
      <c r="J75" s="30"/>
    </row>
    <row r="76" spans="1:11">
      <c r="A76" s="37" t="s">
        <v>77</v>
      </c>
      <c r="B76" s="20" t="s">
        <v>51</v>
      </c>
      <c r="C76" s="23">
        <v>6862000</v>
      </c>
      <c r="D76" s="335"/>
      <c r="E76" s="47" t="s">
        <v>13</v>
      </c>
      <c r="F76" s="47"/>
      <c r="G76" s="42" t="s">
        <v>283</v>
      </c>
      <c r="H76" s="47" t="s">
        <v>16</v>
      </c>
      <c r="I76" s="42" t="s">
        <v>46</v>
      </c>
      <c r="J76" s="29"/>
    </row>
    <row r="77" spans="1:11">
      <c r="A77" s="10"/>
      <c r="B77" s="26" t="s">
        <v>64</v>
      </c>
      <c r="C77" s="28">
        <f>ROUND((C60+C66),-3)</f>
        <v>3000000000</v>
      </c>
      <c r="D77" s="43"/>
      <c r="E77" s="43"/>
      <c r="F77" s="43"/>
      <c r="G77" s="43"/>
      <c r="H77" s="43"/>
      <c r="I77" s="43"/>
      <c r="J77" s="29"/>
    </row>
    <row r="79" spans="1:11" ht="16.5">
      <c r="A79" s="330" t="s">
        <v>27</v>
      </c>
      <c r="B79" s="330"/>
      <c r="C79" s="330"/>
      <c r="D79" s="330"/>
      <c r="E79" s="330"/>
      <c r="F79" s="330"/>
      <c r="G79" s="330"/>
      <c r="H79" s="330"/>
      <c r="I79" s="330"/>
    </row>
    <row r="80" spans="1:11" ht="16.5">
      <c r="A80" s="340" t="s">
        <v>311</v>
      </c>
      <c r="B80" s="340"/>
      <c r="C80" s="340"/>
      <c r="D80" s="340"/>
      <c r="E80" s="340"/>
      <c r="F80" s="340"/>
      <c r="G80" s="340"/>
      <c r="H80" s="340"/>
      <c r="I80" s="340"/>
      <c r="J80" s="340"/>
    </row>
    <row r="81" spans="1:10" ht="63">
      <c r="A81" s="10" t="s">
        <v>21</v>
      </c>
      <c r="B81" s="10" t="s">
        <v>0</v>
      </c>
      <c r="C81" s="10" t="s">
        <v>83</v>
      </c>
      <c r="D81" s="10" t="s">
        <v>1</v>
      </c>
      <c r="E81" s="10" t="s">
        <v>2</v>
      </c>
      <c r="F81" s="10" t="s">
        <v>3</v>
      </c>
      <c r="G81" s="10" t="s">
        <v>4</v>
      </c>
      <c r="H81" s="10" t="s">
        <v>5</v>
      </c>
      <c r="I81" s="10" t="s">
        <v>6</v>
      </c>
      <c r="J81" s="10" t="s">
        <v>65</v>
      </c>
    </row>
    <row r="82" spans="1:10">
      <c r="A82" s="10" t="s">
        <v>57</v>
      </c>
      <c r="B82" s="26" t="s">
        <v>75</v>
      </c>
      <c r="C82" s="28">
        <f>SUM(C83:C87)</f>
        <v>243988000</v>
      </c>
      <c r="D82" s="10"/>
      <c r="E82" s="43"/>
      <c r="F82" s="43"/>
      <c r="G82" s="43"/>
      <c r="H82" s="43"/>
      <c r="I82" s="43"/>
      <c r="J82" s="29"/>
    </row>
    <row r="83" spans="1:10" ht="31.5">
      <c r="A83" s="37" t="s">
        <v>77</v>
      </c>
      <c r="B83" s="31" t="s">
        <v>301</v>
      </c>
      <c r="C83" s="21">
        <f>39973000+54880000+81141000+55771000</f>
        <v>231765000</v>
      </c>
      <c r="D83" s="333" t="s">
        <v>271</v>
      </c>
      <c r="E83" s="44" t="s">
        <v>13</v>
      </c>
      <c r="F83" s="43"/>
      <c r="G83" s="45"/>
      <c r="H83" s="44" t="s">
        <v>16</v>
      </c>
      <c r="I83" s="45" t="s">
        <v>66</v>
      </c>
      <c r="J83" s="32"/>
    </row>
    <row r="84" spans="1:10">
      <c r="A84" s="37" t="s">
        <v>77</v>
      </c>
      <c r="B84" s="20" t="s">
        <v>80</v>
      </c>
      <c r="C84" s="21">
        <f>3567000+3453000</f>
        <v>7020000</v>
      </c>
      <c r="D84" s="334"/>
      <c r="E84" s="44" t="s">
        <v>13</v>
      </c>
      <c r="F84" s="46"/>
      <c r="G84" s="46"/>
      <c r="H84" s="44" t="s">
        <v>16</v>
      </c>
      <c r="I84" s="45" t="s">
        <v>17</v>
      </c>
      <c r="J84" s="10"/>
    </row>
    <row r="85" spans="1:10">
      <c r="A85" s="37" t="s">
        <v>77</v>
      </c>
      <c r="B85" s="20" t="s">
        <v>304</v>
      </c>
      <c r="C85" s="21">
        <v>3000000</v>
      </c>
      <c r="D85" s="334"/>
      <c r="E85" s="44" t="s">
        <v>13</v>
      </c>
      <c r="F85" s="46"/>
      <c r="G85" s="46"/>
      <c r="H85" s="44" t="s">
        <v>16</v>
      </c>
      <c r="I85" s="45" t="s">
        <v>309</v>
      </c>
      <c r="J85" s="10"/>
    </row>
    <row r="86" spans="1:10">
      <c r="A86" s="37" t="s">
        <v>77</v>
      </c>
      <c r="B86" s="20" t="s">
        <v>61</v>
      </c>
      <c r="C86" s="21">
        <v>570000</v>
      </c>
      <c r="D86" s="334"/>
      <c r="E86" s="46"/>
      <c r="F86" s="46"/>
      <c r="G86" s="46"/>
      <c r="H86" s="46"/>
      <c r="I86" s="46"/>
      <c r="J86" s="10"/>
    </row>
    <row r="87" spans="1:10">
      <c r="A87" s="37" t="s">
        <v>77</v>
      </c>
      <c r="B87" s="20" t="s">
        <v>303</v>
      </c>
      <c r="C87" s="21">
        <f>830000+803000</f>
        <v>1633000</v>
      </c>
      <c r="D87" s="335"/>
      <c r="E87" s="46"/>
      <c r="F87" s="46"/>
      <c r="G87" s="46"/>
      <c r="H87" s="46"/>
      <c r="I87" s="46"/>
      <c r="J87" s="10"/>
    </row>
    <row r="88" spans="1:10">
      <c r="A88" s="10" t="s">
        <v>60</v>
      </c>
      <c r="B88" s="26" t="s">
        <v>76</v>
      </c>
      <c r="C88" s="28">
        <f>+C89+C93</f>
        <v>2756012000</v>
      </c>
      <c r="D88" s="43"/>
      <c r="E88" s="43"/>
      <c r="F88" s="43"/>
      <c r="G88" s="43"/>
      <c r="H88" s="43"/>
      <c r="I88" s="43"/>
      <c r="J88" s="29"/>
    </row>
    <row r="89" spans="1:10" ht="31.5">
      <c r="A89" s="10" t="s">
        <v>78</v>
      </c>
      <c r="B89" s="26" t="s">
        <v>58</v>
      </c>
      <c r="C89" s="28">
        <f>SUM(C90:C92)</f>
        <v>269840000</v>
      </c>
      <c r="D89" s="43"/>
      <c r="E89" s="43"/>
      <c r="F89" s="43"/>
      <c r="G89" s="43"/>
      <c r="H89" s="43"/>
      <c r="I89" s="43"/>
      <c r="J89" s="29"/>
    </row>
    <row r="90" spans="1:10">
      <c r="A90" s="38" t="s">
        <v>77</v>
      </c>
      <c r="B90" s="20" t="s">
        <v>79</v>
      </c>
      <c r="C90" s="21">
        <v>2000000</v>
      </c>
      <c r="D90" s="333" t="s">
        <v>271</v>
      </c>
      <c r="E90" s="46"/>
      <c r="F90" s="46"/>
      <c r="G90" s="46"/>
      <c r="H90" s="46"/>
      <c r="I90" s="46"/>
      <c r="J90" s="329"/>
    </row>
    <row r="91" spans="1:10">
      <c r="A91" s="38" t="s">
        <v>77</v>
      </c>
      <c r="B91" s="20" t="s">
        <v>158</v>
      </c>
      <c r="C91" s="21">
        <v>239340000</v>
      </c>
      <c r="D91" s="334"/>
      <c r="E91" s="46"/>
      <c r="F91" s="46"/>
      <c r="G91" s="46"/>
      <c r="H91" s="46"/>
      <c r="I91" s="46"/>
      <c r="J91" s="329"/>
    </row>
    <row r="92" spans="1:10">
      <c r="A92" s="38" t="s">
        <v>77</v>
      </c>
      <c r="B92" s="20" t="s">
        <v>63</v>
      </c>
      <c r="C92" s="21">
        <v>28500000</v>
      </c>
      <c r="D92" s="335"/>
      <c r="E92" s="46"/>
      <c r="F92" s="46"/>
      <c r="G92" s="46"/>
      <c r="H92" s="46"/>
      <c r="I92" s="46"/>
      <c r="J92" s="329"/>
    </row>
    <row r="93" spans="1:10">
      <c r="A93" s="10" t="s">
        <v>81</v>
      </c>
      <c r="B93" s="26" t="s">
        <v>59</v>
      </c>
      <c r="C93" s="28">
        <f>ROUND(SUM(C94:C98),-3)</f>
        <v>2486172000</v>
      </c>
      <c r="D93" s="43"/>
      <c r="E93" s="43"/>
      <c r="F93" s="43"/>
      <c r="G93" s="43"/>
      <c r="H93" s="43"/>
      <c r="I93" s="43"/>
      <c r="J93" s="29"/>
    </row>
    <row r="94" spans="1:10" ht="31.5">
      <c r="A94" s="37" t="s">
        <v>77</v>
      </c>
      <c r="B94" s="31" t="s">
        <v>305</v>
      </c>
      <c r="C94" s="21">
        <f>3066000+3747000</f>
        <v>6813000</v>
      </c>
      <c r="D94" s="333" t="s">
        <v>271</v>
      </c>
      <c r="E94" s="44" t="s">
        <v>13</v>
      </c>
      <c r="F94" s="47"/>
      <c r="G94" s="45" t="s">
        <v>283</v>
      </c>
      <c r="H94" s="44" t="s">
        <v>16</v>
      </c>
      <c r="I94" s="45" t="s">
        <v>17</v>
      </c>
      <c r="J94" s="32"/>
    </row>
    <row r="95" spans="1:10">
      <c r="A95" s="37" t="s">
        <v>77</v>
      </c>
      <c r="B95" s="31" t="s">
        <v>306</v>
      </c>
      <c r="C95" s="21">
        <v>71092000</v>
      </c>
      <c r="D95" s="334"/>
      <c r="E95" s="44" t="s">
        <v>13</v>
      </c>
      <c r="F95" s="47"/>
      <c r="G95" s="45" t="s">
        <v>283</v>
      </c>
      <c r="H95" s="44" t="s">
        <v>16</v>
      </c>
      <c r="I95" s="45" t="s">
        <v>46</v>
      </c>
      <c r="J95" s="34"/>
    </row>
    <row r="96" spans="1:10" ht="45">
      <c r="A96" s="37" t="s">
        <v>77</v>
      </c>
      <c r="B96" s="31" t="s">
        <v>307</v>
      </c>
      <c r="C96" s="21">
        <f>1887057000+400334000+68622000</f>
        <v>2356013000</v>
      </c>
      <c r="D96" s="334"/>
      <c r="E96" s="44" t="s">
        <v>72</v>
      </c>
      <c r="F96" s="42" t="s">
        <v>14</v>
      </c>
      <c r="G96" s="45" t="s">
        <v>283</v>
      </c>
      <c r="H96" s="44" t="s">
        <v>16</v>
      </c>
      <c r="I96" s="116" t="s">
        <v>153</v>
      </c>
      <c r="J96" s="36" t="s">
        <v>204</v>
      </c>
    </row>
    <row r="97" spans="1:10" ht="31.5">
      <c r="A97" s="37" t="s">
        <v>77</v>
      </c>
      <c r="B97" s="20" t="s">
        <v>308</v>
      </c>
      <c r="C97" s="23">
        <f>39232000+2298000+3862000</f>
        <v>45392000</v>
      </c>
      <c r="D97" s="334"/>
      <c r="E97" s="47" t="s">
        <v>13</v>
      </c>
      <c r="F97" s="47"/>
      <c r="G97" s="42" t="s">
        <v>283</v>
      </c>
      <c r="H97" s="47" t="s">
        <v>16</v>
      </c>
      <c r="I97" s="42" t="s">
        <v>302</v>
      </c>
      <c r="J97" s="30"/>
    </row>
    <row r="98" spans="1:10">
      <c r="A98" s="37" t="s">
        <v>77</v>
      </c>
      <c r="B98" s="20" t="s">
        <v>51</v>
      </c>
      <c r="C98" s="23">
        <v>6862000</v>
      </c>
      <c r="D98" s="335"/>
      <c r="E98" s="47" t="s">
        <v>13</v>
      </c>
      <c r="F98" s="47"/>
      <c r="G98" s="42" t="s">
        <v>283</v>
      </c>
      <c r="H98" s="47" t="s">
        <v>16</v>
      </c>
      <c r="I98" s="42" t="s">
        <v>46</v>
      </c>
      <c r="J98" s="29"/>
    </row>
    <row r="99" spans="1:10">
      <c r="A99" s="10"/>
      <c r="B99" s="26" t="s">
        <v>64</v>
      </c>
      <c r="C99" s="28">
        <f>ROUND((C82+C88),-3)</f>
        <v>3000000000</v>
      </c>
      <c r="D99" s="43"/>
      <c r="E99" s="43"/>
      <c r="F99" s="43"/>
      <c r="G99" s="43"/>
      <c r="H99" s="43"/>
      <c r="I99" s="43"/>
      <c r="J99" s="29"/>
    </row>
    <row r="134" spans="3:3">
      <c r="C134" s="1">
        <v>160</v>
      </c>
    </row>
  </sheetData>
  <mergeCells count="19">
    <mergeCell ref="D94:D98"/>
    <mergeCell ref="A80:J80"/>
    <mergeCell ref="D83:D87"/>
    <mergeCell ref="D90:D92"/>
    <mergeCell ref="J90:J92"/>
    <mergeCell ref="A1:I1"/>
    <mergeCell ref="A2:I2"/>
    <mergeCell ref="H3:I3"/>
    <mergeCell ref="A79:I79"/>
    <mergeCell ref="D6:D10"/>
    <mergeCell ref="D61:D65"/>
    <mergeCell ref="D68:D70"/>
    <mergeCell ref="D72:D76"/>
    <mergeCell ref="A58:J58"/>
    <mergeCell ref="J68:J70"/>
    <mergeCell ref="D13:D15"/>
    <mergeCell ref="J13:J15"/>
    <mergeCell ref="D17:D21"/>
    <mergeCell ref="A57:I57"/>
  </mergeCells>
  <phoneticPr fontId="4" type="noConversion"/>
  <pageMargins left="0.38" right="0.2" top="0.52" bottom="0.3" header="0.5" footer="0.38"/>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54" workbookViewId="0">
      <selection activeCell="D71" sqref="D71:D75"/>
    </sheetView>
  </sheetViews>
  <sheetFormatPr defaultColWidth="9" defaultRowHeight="15.75"/>
  <cols>
    <col min="1" max="1" width="4.109375" style="1" customWidth="1"/>
    <col min="2" max="2" width="34.109375" style="1" customWidth="1"/>
    <col min="3" max="3" width="11.77734375" style="1" customWidth="1"/>
    <col min="4" max="4" width="10.109375" style="1" customWidth="1"/>
    <col min="5" max="5" width="11.21875" style="1" customWidth="1"/>
    <col min="6" max="6" width="8.21875" style="1" customWidth="1"/>
    <col min="7" max="7" width="11.88671875" style="1" customWidth="1"/>
    <col min="8" max="8" width="8.109375" style="1" customWidth="1"/>
    <col min="9" max="9" width="9.21875" style="1" customWidth="1"/>
    <col min="10" max="10" width="11.109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298</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21613000</v>
      </c>
      <c r="D5" s="10"/>
      <c r="E5" s="43"/>
      <c r="F5" s="43"/>
      <c r="G5" s="43"/>
      <c r="H5" s="43"/>
      <c r="I5" s="43"/>
      <c r="J5" s="29"/>
    </row>
    <row r="6" spans="1:12" s="33" customFormat="1" ht="31.5">
      <c r="A6" s="37" t="s">
        <v>77</v>
      </c>
      <c r="B6" s="31" t="s">
        <v>213</v>
      </c>
      <c r="C6" s="21">
        <f>5553000+14812000</f>
        <v>20365000</v>
      </c>
      <c r="D6" s="339" t="s">
        <v>271</v>
      </c>
      <c r="E6" s="44" t="s">
        <v>13</v>
      </c>
      <c r="F6" s="43"/>
      <c r="G6" s="45"/>
      <c r="H6" s="44" t="s">
        <v>16</v>
      </c>
      <c r="I6" s="45" t="s">
        <v>292</v>
      </c>
      <c r="J6" s="32"/>
    </row>
    <row r="7" spans="1:12" s="27" customFormat="1" ht="36" customHeight="1">
      <c r="A7" s="37" t="s">
        <v>77</v>
      </c>
      <c r="B7" s="20" t="s">
        <v>294</v>
      </c>
      <c r="C7" s="21">
        <v>1189000</v>
      </c>
      <c r="D7" s="339"/>
      <c r="E7" s="44" t="s">
        <v>299</v>
      </c>
      <c r="F7" s="46"/>
      <c r="G7" s="46"/>
      <c r="H7" s="44"/>
      <c r="I7" s="45"/>
      <c r="J7" s="10"/>
    </row>
    <row r="8" spans="1:12" s="202" customFormat="1" ht="24" customHeight="1">
      <c r="A8" s="200" t="s">
        <v>77</v>
      </c>
      <c r="B8" s="46" t="s">
        <v>61</v>
      </c>
      <c r="C8" s="201">
        <v>59000</v>
      </c>
      <c r="D8" s="339"/>
      <c r="E8" s="46"/>
      <c r="F8" s="46"/>
      <c r="G8" s="46"/>
      <c r="H8" s="46"/>
      <c r="I8" s="46"/>
      <c r="J8" s="43"/>
    </row>
    <row r="9" spans="1:12" ht="24" customHeight="1">
      <c r="A9" s="10" t="s">
        <v>60</v>
      </c>
      <c r="B9" s="26" t="s">
        <v>76</v>
      </c>
      <c r="C9" s="28">
        <f>+C10+C15</f>
        <v>293210000</v>
      </c>
      <c r="D9" s="43"/>
      <c r="E9" s="43"/>
      <c r="F9" s="43"/>
      <c r="G9" s="43"/>
      <c r="H9" s="43"/>
      <c r="I9" s="43"/>
      <c r="J9" s="29"/>
    </row>
    <row r="10" spans="1:12" ht="31.5">
      <c r="A10" s="10" t="s">
        <v>78</v>
      </c>
      <c r="B10" s="26" t="s">
        <v>58</v>
      </c>
      <c r="C10" s="204">
        <f>SUM(C11:C14)</f>
        <v>29622000</v>
      </c>
      <c r="D10" s="10"/>
      <c r="E10" s="10"/>
      <c r="F10" s="10"/>
      <c r="G10" s="10"/>
      <c r="H10" s="10"/>
      <c r="I10" s="10"/>
      <c r="J10" s="29"/>
    </row>
    <row r="11" spans="1:12" s="27" customFormat="1" ht="30" customHeight="1">
      <c r="A11" s="38" t="s">
        <v>77</v>
      </c>
      <c r="B11" s="20" t="s">
        <v>142</v>
      </c>
      <c r="C11" s="205">
        <v>5132000</v>
      </c>
      <c r="D11" s="341" t="s">
        <v>271</v>
      </c>
      <c r="E11" s="44" t="s">
        <v>299</v>
      </c>
      <c r="F11" s="20"/>
      <c r="G11" s="20"/>
      <c r="H11" s="20"/>
      <c r="I11" s="20"/>
      <c r="J11" s="329"/>
    </row>
    <row r="12" spans="1:12" s="27" customFormat="1">
      <c r="A12" s="38" t="s">
        <v>77</v>
      </c>
      <c r="B12" s="20" t="s">
        <v>158</v>
      </c>
      <c r="C12" s="205">
        <v>14992000</v>
      </c>
      <c r="D12" s="342"/>
      <c r="E12" s="20"/>
      <c r="F12" s="20"/>
      <c r="G12" s="20"/>
      <c r="H12" s="20"/>
      <c r="I12" s="20"/>
      <c r="J12" s="329"/>
    </row>
    <row r="13" spans="1:12" s="27" customFormat="1">
      <c r="A13" s="38" t="s">
        <v>77</v>
      </c>
      <c r="B13" s="20" t="s">
        <v>63</v>
      </c>
      <c r="C13" s="205">
        <v>2945000</v>
      </c>
      <c r="D13" s="342"/>
      <c r="E13" s="20"/>
      <c r="F13" s="20"/>
      <c r="G13" s="20"/>
      <c r="H13" s="20"/>
      <c r="I13" s="20"/>
      <c r="J13" s="329"/>
    </row>
    <row r="14" spans="1:12" ht="30">
      <c r="A14" s="37" t="s">
        <v>77</v>
      </c>
      <c r="B14" s="20" t="s">
        <v>297</v>
      </c>
      <c r="C14" s="206">
        <v>6553000</v>
      </c>
      <c r="D14" s="343"/>
      <c r="E14" s="44" t="s">
        <v>299</v>
      </c>
      <c r="F14" s="22"/>
      <c r="G14" s="19"/>
      <c r="H14" s="22"/>
      <c r="I14" s="19"/>
      <c r="J14" s="30"/>
      <c r="K14" s="24"/>
      <c r="L14" s="24"/>
    </row>
    <row r="15" spans="1:12">
      <c r="A15" s="10" t="s">
        <v>81</v>
      </c>
      <c r="B15" s="26" t="s">
        <v>59</v>
      </c>
      <c r="C15" s="204">
        <f>ROUND(SUM(C16:C20),-3)</f>
        <v>263588000</v>
      </c>
      <c r="D15" s="10"/>
      <c r="E15" s="10"/>
      <c r="F15" s="10"/>
      <c r="G15" s="10"/>
      <c r="H15" s="10"/>
      <c r="I15" s="10"/>
      <c r="J15" s="29"/>
    </row>
    <row r="16" spans="1:12" s="109" customFormat="1" ht="5.25" hidden="1">
      <c r="A16" s="101" t="s">
        <v>77</v>
      </c>
      <c r="B16" s="102" t="s">
        <v>40</v>
      </c>
      <c r="C16" s="103">
        <v>0</v>
      </c>
      <c r="D16" s="341" t="s">
        <v>272</v>
      </c>
      <c r="E16" s="104" t="s">
        <v>13</v>
      </c>
      <c r="F16" s="105"/>
      <c r="G16" s="106" t="s">
        <v>56</v>
      </c>
      <c r="H16" s="104" t="s">
        <v>16</v>
      </c>
      <c r="I16" s="106" t="s">
        <v>17</v>
      </c>
      <c r="J16" s="117"/>
    </row>
    <row r="17" spans="1:12" s="109" customFormat="1" ht="5.25" hidden="1">
      <c r="A17" s="101" t="s">
        <v>77</v>
      </c>
      <c r="B17" s="102" t="s">
        <v>67</v>
      </c>
      <c r="C17" s="103">
        <v>0</v>
      </c>
      <c r="D17" s="342"/>
      <c r="E17" s="104" t="s">
        <v>13</v>
      </c>
      <c r="F17" s="105"/>
      <c r="G17" s="106" t="s">
        <v>56</v>
      </c>
      <c r="H17" s="104" t="s">
        <v>16</v>
      </c>
      <c r="I17" s="106" t="s">
        <v>46</v>
      </c>
      <c r="J17" s="107"/>
      <c r="K17" s="108"/>
      <c r="L17" s="108"/>
    </row>
    <row r="18" spans="1:12" s="33" customFormat="1" ht="63">
      <c r="A18" s="37" t="s">
        <v>77</v>
      </c>
      <c r="B18" s="31" t="s">
        <v>295</v>
      </c>
      <c r="C18" s="205">
        <f>255378000+7661000</f>
        <v>263039000</v>
      </c>
      <c r="D18" s="342"/>
      <c r="E18" s="118" t="s">
        <v>13</v>
      </c>
      <c r="F18" s="19" t="s">
        <v>14</v>
      </c>
      <c r="G18" s="19" t="s">
        <v>283</v>
      </c>
      <c r="H18" s="118" t="s">
        <v>16</v>
      </c>
      <c r="I18" s="120" t="s">
        <v>37</v>
      </c>
      <c r="J18" s="121" t="s">
        <v>284</v>
      </c>
      <c r="K18" s="35">
        <v>12122000</v>
      </c>
      <c r="L18" s="35" t="e">
        <f>+J18+K18</f>
        <v>#VALUE!</v>
      </c>
    </row>
    <row r="19" spans="1:12" s="190" customFormat="1" ht="5.25" hidden="1">
      <c r="A19" s="101" t="s">
        <v>77</v>
      </c>
      <c r="B19" s="169" t="s">
        <v>296</v>
      </c>
      <c r="C19" s="182"/>
      <c r="D19" s="342"/>
      <c r="E19" s="105" t="s">
        <v>13</v>
      </c>
      <c r="F19" s="105"/>
      <c r="G19" s="189" t="s">
        <v>273</v>
      </c>
      <c r="H19" s="105" t="s">
        <v>16</v>
      </c>
      <c r="I19" s="189" t="s">
        <v>156</v>
      </c>
      <c r="J19" s="207"/>
      <c r="K19" s="208"/>
      <c r="L19" s="208"/>
    </row>
    <row r="20" spans="1:12" ht="31.5">
      <c r="A20" s="37" t="s">
        <v>77</v>
      </c>
      <c r="B20" s="20" t="s">
        <v>279</v>
      </c>
      <c r="C20" s="206">
        <v>549000</v>
      </c>
      <c r="D20" s="343"/>
      <c r="E20" s="22" t="s">
        <v>13</v>
      </c>
      <c r="F20" s="22"/>
      <c r="G20" s="19" t="s">
        <v>283</v>
      </c>
      <c r="H20" s="22" t="s">
        <v>16</v>
      </c>
      <c r="I20" s="19" t="s">
        <v>46</v>
      </c>
      <c r="J20" s="29"/>
    </row>
    <row r="21" spans="1:12">
      <c r="A21" s="10"/>
      <c r="B21" s="26" t="s">
        <v>64</v>
      </c>
      <c r="C21" s="204">
        <f>ROUND((C5+C9),-3)</f>
        <v>314823000</v>
      </c>
      <c r="D21" s="10"/>
      <c r="E21" s="10"/>
      <c r="F21" s="10"/>
      <c r="G21" s="10"/>
      <c r="H21" s="10"/>
      <c r="I21" s="10"/>
      <c r="J21" s="29"/>
    </row>
    <row r="28" spans="1:12">
      <c r="C28" s="41">
        <f>+C21+421000+407000</f>
        <v>315651000</v>
      </c>
      <c r="D28" s="100">
        <f>+C21-C12</f>
        <v>299831000</v>
      </c>
      <c r="E28" s="100">
        <f>D28*0.9</f>
        <v>269847900</v>
      </c>
    </row>
    <row r="29" spans="1:12">
      <c r="C29" s="99"/>
      <c r="D29" s="100"/>
      <c r="E29" s="115"/>
    </row>
    <row r="51" spans="1:11" ht="167.25" customHeight="1"/>
    <row r="53" spans="1:11" ht="0.75" customHeight="1"/>
    <row r="54" spans="1:11" ht="0.75" customHeight="1"/>
    <row r="55" spans="1:11" ht="0.75" customHeight="1"/>
    <row r="56" spans="1:11" ht="32.25" hidden="1" customHeight="1"/>
    <row r="57" spans="1:11" ht="22.5" customHeight="1">
      <c r="A57" s="330" t="s">
        <v>27</v>
      </c>
      <c r="B57" s="330"/>
      <c r="C57" s="330"/>
      <c r="D57" s="330"/>
      <c r="E57" s="330"/>
      <c r="F57" s="330"/>
      <c r="G57" s="330"/>
      <c r="H57" s="330"/>
      <c r="I57" s="330"/>
    </row>
    <row r="58" spans="1:11" ht="16.5">
      <c r="A58" s="331" t="s">
        <v>300</v>
      </c>
      <c r="B58" s="331"/>
      <c r="C58" s="331"/>
      <c r="D58" s="331"/>
      <c r="E58" s="331"/>
      <c r="F58" s="331"/>
      <c r="G58" s="331"/>
      <c r="H58" s="331"/>
      <c r="I58" s="331"/>
    </row>
    <row r="59" spans="1:11" ht="63">
      <c r="A59" s="10" t="s">
        <v>21</v>
      </c>
      <c r="B59" s="10" t="s">
        <v>0</v>
      </c>
      <c r="C59" s="10" t="s">
        <v>83</v>
      </c>
      <c r="D59" s="10" t="s">
        <v>1</v>
      </c>
      <c r="E59" s="10" t="s">
        <v>2</v>
      </c>
      <c r="F59" s="10" t="s">
        <v>3</v>
      </c>
      <c r="G59" s="10" t="s">
        <v>4</v>
      </c>
      <c r="H59" s="10" t="s">
        <v>5</v>
      </c>
      <c r="I59" s="10" t="s">
        <v>6</v>
      </c>
      <c r="J59" s="10" t="s">
        <v>65</v>
      </c>
    </row>
    <row r="60" spans="1:11" ht="31.5" customHeight="1">
      <c r="A60" s="10" t="s">
        <v>57</v>
      </c>
      <c r="B60" s="26" t="s">
        <v>75</v>
      </c>
      <c r="C60" s="28">
        <f>SUM(C61:C63)</f>
        <v>21613000</v>
      </c>
      <c r="D60" s="10"/>
      <c r="E60" s="43"/>
      <c r="F60" s="43"/>
      <c r="G60" s="43"/>
      <c r="H60" s="43"/>
      <c r="I60" s="43"/>
      <c r="J60" s="29"/>
    </row>
    <row r="61" spans="1:11" ht="47.25" customHeight="1">
      <c r="A61" s="37" t="s">
        <v>77</v>
      </c>
      <c r="B61" s="31" t="s">
        <v>213</v>
      </c>
      <c r="C61" s="21">
        <f>5553000+14812000</f>
        <v>20365000</v>
      </c>
      <c r="D61" s="339" t="s">
        <v>271</v>
      </c>
      <c r="E61" s="44" t="s">
        <v>13</v>
      </c>
      <c r="F61" s="43"/>
      <c r="G61" s="45"/>
      <c r="H61" s="44" t="s">
        <v>16</v>
      </c>
      <c r="I61" s="45" t="s">
        <v>292</v>
      </c>
      <c r="J61" s="32"/>
      <c r="K61" s="33"/>
    </row>
    <row r="62" spans="1:11" ht="30">
      <c r="A62" s="37" t="s">
        <v>77</v>
      </c>
      <c r="B62" s="20" t="s">
        <v>294</v>
      </c>
      <c r="C62" s="21">
        <v>1189000</v>
      </c>
      <c r="D62" s="339"/>
      <c r="E62" s="44" t="s">
        <v>299</v>
      </c>
      <c r="F62" s="46"/>
      <c r="G62" s="46"/>
      <c r="H62" s="44"/>
      <c r="I62" s="45"/>
      <c r="J62" s="10"/>
      <c r="K62" s="27"/>
    </row>
    <row r="63" spans="1:11">
      <c r="A63" s="200" t="s">
        <v>77</v>
      </c>
      <c r="B63" s="46" t="s">
        <v>61</v>
      </c>
      <c r="C63" s="201">
        <v>59000</v>
      </c>
      <c r="D63" s="339"/>
      <c r="E63" s="46"/>
      <c r="F63" s="46"/>
      <c r="G63" s="46"/>
      <c r="H63" s="46"/>
      <c r="I63" s="46"/>
      <c r="J63" s="43"/>
      <c r="K63" s="27"/>
    </row>
    <row r="64" spans="1:11">
      <c r="A64" s="10" t="s">
        <v>60</v>
      </c>
      <c r="B64" s="26" t="s">
        <v>76</v>
      </c>
      <c r="C64" s="28">
        <f>+C65+C70</f>
        <v>293210000</v>
      </c>
      <c r="D64" s="43"/>
      <c r="E64" s="43"/>
      <c r="F64" s="43"/>
      <c r="G64" s="43"/>
      <c r="H64" s="43"/>
      <c r="I64" s="43"/>
      <c r="J64" s="29"/>
    </row>
    <row r="65" spans="1:11" ht="15.75" customHeight="1">
      <c r="A65" s="10" t="s">
        <v>78</v>
      </c>
      <c r="B65" s="26" t="s">
        <v>58</v>
      </c>
      <c r="C65" s="204">
        <f>SUM(C66:C69)</f>
        <v>29622000</v>
      </c>
      <c r="D65" s="10"/>
      <c r="E65" s="10"/>
      <c r="F65" s="10"/>
      <c r="G65" s="10"/>
      <c r="H65" s="10"/>
      <c r="I65" s="10"/>
      <c r="J65" s="29"/>
    </row>
    <row r="66" spans="1:11" ht="31.5" customHeight="1">
      <c r="A66" s="38" t="s">
        <v>77</v>
      </c>
      <c r="B66" s="20" t="s">
        <v>142</v>
      </c>
      <c r="C66" s="205">
        <v>5132000</v>
      </c>
      <c r="D66" s="341" t="s">
        <v>271</v>
      </c>
      <c r="E66" s="44" t="s">
        <v>299</v>
      </c>
      <c r="F66" s="20"/>
      <c r="G66" s="20"/>
      <c r="H66" s="20"/>
      <c r="I66" s="20"/>
      <c r="J66" s="329"/>
      <c r="K66" s="27"/>
    </row>
    <row r="67" spans="1:11" ht="31.5" hidden="1" customHeight="1">
      <c r="A67" s="38" t="s">
        <v>77</v>
      </c>
      <c r="B67" s="20" t="s">
        <v>158</v>
      </c>
      <c r="C67" s="205">
        <v>14992000</v>
      </c>
      <c r="D67" s="342"/>
      <c r="E67" s="20"/>
      <c r="F67" s="20"/>
      <c r="G67" s="20"/>
      <c r="H67" s="20"/>
      <c r="I67" s="20"/>
      <c r="J67" s="329"/>
      <c r="K67" s="27"/>
    </row>
    <row r="68" spans="1:11" ht="31.5" customHeight="1">
      <c r="A68" s="38" t="s">
        <v>77</v>
      </c>
      <c r="B68" s="20" t="s">
        <v>63</v>
      </c>
      <c r="C68" s="205">
        <v>2945000</v>
      </c>
      <c r="D68" s="342"/>
      <c r="E68" s="20"/>
      <c r="F68" s="20"/>
      <c r="G68" s="20"/>
      <c r="H68" s="20"/>
      <c r="I68" s="20"/>
      <c r="J68" s="329"/>
    </row>
    <row r="69" spans="1:11" ht="31.5" customHeight="1">
      <c r="A69" s="37" t="s">
        <v>77</v>
      </c>
      <c r="B69" s="20" t="s">
        <v>297</v>
      </c>
      <c r="C69" s="206">
        <v>6553000</v>
      </c>
      <c r="D69" s="343"/>
      <c r="E69" s="44" t="s">
        <v>299</v>
      </c>
      <c r="F69" s="22"/>
      <c r="G69" s="19"/>
      <c r="H69" s="22"/>
      <c r="I69" s="19"/>
      <c r="J69" s="30"/>
      <c r="K69" s="33"/>
    </row>
    <row r="70" spans="1:11" ht="31.5" hidden="1" customHeight="1">
      <c r="A70" s="10" t="s">
        <v>81</v>
      </c>
      <c r="B70" s="26" t="s">
        <v>59</v>
      </c>
      <c r="C70" s="204">
        <f>ROUND(SUM(C71:C75),-3)</f>
        <v>263588000</v>
      </c>
      <c r="D70" s="10"/>
      <c r="E70" s="10"/>
      <c r="F70" s="10"/>
      <c r="G70" s="10"/>
      <c r="H70" s="10"/>
      <c r="I70" s="10"/>
      <c r="J70" s="29"/>
      <c r="K70" s="35"/>
    </row>
    <row r="71" spans="1:11" ht="15.75" hidden="1" customHeight="1">
      <c r="A71" s="101" t="s">
        <v>77</v>
      </c>
      <c r="B71" s="102" t="s">
        <v>40</v>
      </c>
      <c r="C71" s="103">
        <v>0</v>
      </c>
      <c r="D71" s="341" t="s">
        <v>272</v>
      </c>
      <c r="E71" s="104" t="s">
        <v>13</v>
      </c>
      <c r="F71" s="105"/>
      <c r="G71" s="106" t="s">
        <v>56</v>
      </c>
      <c r="H71" s="104" t="s">
        <v>16</v>
      </c>
      <c r="I71" s="106" t="s">
        <v>17</v>
      </c>
      <c r="J71" s="117"/>
      <c r="K71" s="35">
        <v>12122000</v>
      </c>
    </row>
    <row r="72" spans="1:11" ht="45" hidden="1" customHeight="1">
      <c r="A72" s="101" t="s">
        <v>77</v>
      </c>
      <c r="B72" s="102" t="s">
        <v>67</v>
      </c>
      <c r="C72" s="103">
        <v>0</v>
      </c>
      <c r="D72" s="342"/>
      <c r="E72" s="104" t="s">
        <v>13</v>
      </c>
      <c r="F72" s="105"/>
      <c r="G72" s="106" t="s">
        <v>56</v>
      </c>
      <c r="H72" s="104" t="s">
        <v>16</v>
      </c>
      <c r="I72" s="106" t="s">
        <v>46</v>
      </c>
      <c r="J72" s="107"/>
      <c r="K72" s="24"/>
    </row>
    <row r="73" spans="1:11" ht="63">
      <c r="A73" s="37" t="s">
        <v>77</v>
      </c>
      <c r="B73" s="31" t="s">
        <v>295</v>
      </c>
      <c r="C73" s="205">
        <f>255378000+7661000</f>
        <v>263039000</v>
      </c>
      <c r="D73" s="342"/>
      <c r="E73" s="118" t="s">
        <v>13</v>
      </c>
      <c r="F73" s="19" t="s">
        <v>14</v>
      </c>
      <c r="G73" s="19" t="s">
        <v>283</v>
      </c>
      <c r="H73" s="118" t="s">
        <v>16</v>
      </c>
      <c r="I73" s="120" t="s">
        <v>37</v>
      </c>
      <c r="J73" s="121" t="s">
        <v>284</v>
      </c>
    </row>
    <row r="74" spans="1:11" ht="0.75" customHeight="1">
      <c r="A74" s="101" t="s">
        <v>77</v>
      </c>
      <c r="B74" s="169" t="s">
        <v>296</v>
      </c>
      <c r="C74" s="182"/>
      <c r="D74" s="342"/>
      <c r="E74" s="105" t="s">
        <v>13</v>
      </c>
      <c r="F74" s="105"/>
      <c r="G74" s="189" t="s">
        <v>273</v>
      </c>
      <c r="H74" s="105" t="s">
        <v>16</v>
      </c>
      <c r="I74" s="189" t="s">
        <v>156</v>
      </c>
      <c r="J74" s="207"/>
    </row>
    <row r="75" spans="1:11" ht="31.5">
      <c r="A75" s="37" t="s">
        <v>77</v>
      </c>
      <c r="B75" s="20" t="s">
        <v>279</v>
      </c>
      <c r="C75" s="206">
        <v>549000</v>
      </c>
      <c r="D75" s="343"/>
      <c r="E75" s="22" t="s">
        <v>13</v>
      </c>
      <c r="F75" s="22"/>
      <c r="G75" s="19" t="s">
        <v>283</v>
      </c>
      <c r="H75" s="22" t="s">
        <v>16</v>
      </c>
      <c r="I75" s="19" t="s">
        <v>46</v>
      </c>
      <c r="J75" s="29"/>
    </row>
    <row r="76" spans="1:11">
      <c r="A76" s="10"/>
      <c r="B76" s="26" t="s">
        <v>64</v>
      </c>
      <c r="C76" s="204">
        <f>ROUND((C60+C64),-3)</f>
        <v>314823000</v>
      </c>
      <c r="D76" s="10"/>
      <c r="E76" s="10"/>
      <c r="F76" s="10"/>
      <c r="G76" s="10"/>
      <c r="H76" s="10"/>
      <c r="I76" s="10"/>
      <c r="J76" s="29"/>
    </row>
  </sheetData>
  <mergeCells count="13">
    <mergeCell ref="A1:I1"/>
    <mergeCell ref="A2:I2"/>
    <mergeCell ref="H3:I3"/>
    <mergeCell ref="D6:D8"/>
    <mergeCell ref="D71:D75"/>
    <mergeCell ref="A58:I58"/>
    <mergeCell ref="D61:D63"/>
    <mergeCell ref="J66:J68"/>
    <mergeCell ref="D66:D69"/>
    <mergeCell ref="J11:J13"/>
    <mergeCell ref="D16:D20"/>
    <mergeCell ref="A57:I57"/>
    <mergeCell ref="D11:D14"/>
  </mergeCells>
  <phoneticPr fontId="4" type="noConversion"/>
  <pageMargins left="0.42" right="0.17" top="0.51" bottom="0.28000000000000003"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289</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14080000</v>
      </c>
      <c r="D5" s="10"/>
      <c r="E5" s="43"/>
      <c r="F5" s="43"/>
      <c r="G5" s="43"/>
      <c r="H5" s="43"/>
      <c r="I5" s="43"/>
      <c r="J5" s="29"/>
    </row>
    <row r="6" spans="1:12" s="33" customFormat="1">
      <c r="A6" s="37" t="s">
        <v>77</v>
      </c>
      <c r="B6" s="31" t="s">
        <v>290</v>
      </c>
      <c r="C6" s="21">
        <v>12808000</v>
      </c>
      <c r="D6" s="339" t="s">
        <v>271</v>
      </c>
      <c r="E6" s="44" t="s">
        <v>13</v>
      </c>
      <c r="F6" s="43"/>
      <c r="G6" s="45"/>
      <c r="H6" s="44" t="s">
        <v>16</v>
      </c>
      <c r="I6" s="45" t="s">
        <v>292</v>
      </c>
      <c r="J6" s="32"/>
    </row>
    <row r="7" spans="1:12" s="27" customFormat="1" ht="36" customHeight="1">
      <c r="A7" s="37" t="s">
        <v>77</v>
      </c>
      <c r="B7" s="20" t="s">
        <v>80</v>
      </c>
      <c r="C7" s="21">
        <v>1215000</v>
      </c>
      <c r="D7" s="339"/>
      <c r="E7" s="44" t="s">
        <v>13</v>
      </c>
      <c r="F7" s="46"/>
      <c r="G7" s="46"/>
      <c r="H7" s="44" t="s">
        <v>16</v>
      </c>
      <c r="I7" s="45" t="s">
        <v>17</v>
      </c>
      <c r="J7" s="10"/>
    </row>
    <row r="8" spans="1:12" s="202" customFormat="1" ht="24" customHeight="1">
      <c r="A8" s="200" t="s">
        <v>77</v>
      </c>
      <c r="B8" s="46" t="s">
        <v>61</v>
      </c>
      <c r="C8" s="201">
        <v>57000</v>
      </c>
      <c r="D8" s="339"/>
      <c r="E8" s="46"/>
      <c r="F8" s="46"/>
      <c r="G8" s="46"/>
      <c r="H8" s="46"/>
      <c r="I8" s="46"/>
      <c r="J8" s="43"/>
    </row>
    <row r="9" spans="1:12" ht="24" customHeight="1">
      <c r="A9" s="10" t="s">
        <v>60</v>
      </c>
      <c r="B9" s="26" t="s">
        <v>76</v>
      </c>
      <c r="C9" s="28">
        <f>+C10+C14</f>
        <v>279606000</v>
      </c>
      <c r="D9" s="43"/>
      <c r="E9" s="43"/>
      <c r="F9" s="43"/>
      <c r="G9" s="43"/>
      <c r="H9" s="43"/>
      <c r="I9" s="43"/>
      <c r="J9" s="29"/>
    </row>
    <row r="10" spans="1:12" ht="31.5">
      <c r="A10" s="10" t="s">
        <v>78</v>
      </c>
      <c r="B10" s="26" t="s">
        <v>58</v>
      </c>
      <c r="C10" s="28">
        <f>SUM(C11:C13)</f>
        <v>9403000</v>
      </c>
      <c r="D10" s="43"/>
      <c r="E10" s="43"/>
      <c r="F10" s="43"/>
      <c r="G10" s="43"/>
      <c r="H10" s="43"/>
      <c r="I10" s="43"/>
      <c r="J10" s="29"/>
    </row>
    <row r="11" spans="1:12" s="27" customFormat="1" ht="31.5" customHeight="1">
      <c r="A11" s="38" t="s">
        <v>77</v>
      </c>
      <c r="B11" s="20" t="s">
        <v>142</v>
      </c>
      <c r="C11" s="21">
        <v>6553000</v>
      </c>
      <c r="D11" s="333" t="s">
        <v>271</v>
      </c>
      <c r="E11" s="46"/>
      <c r="F11" s="46"/>
      <c r="G11" s="46"/>
      <c r="H11" s="46"/>
      <c r="I11" s="46"/>
      <c r="J11" s="329"/>
    </row>
    <row r="12" spans="1:12" s="171" customFormat="1" ht="0.75" customHeight="1">
      <c r="A12" s="187" t="s">
        <v>77</v>
      </c>
      <c r="B12" s="169" t="s">
        <v>158</v>
      </c>
      <c r="C12" s="103">
        <v>0</v>
      </c>
      <c r="D12" s="334"/>
      <c r="E12" s="169"/>
      <c r="F12" s="169"/>
      <c r="G12" s="169"/>
      <c r="H12" s="169"/>
      <c r="I12" s="169"/>
      <c r="J12" s="329"/>
    </row>
    <row r="13" spans="1:12" s="27" customFormat="1" ht="31.5" customHeight="1">
      <c r="A13" s="38" t="s">
        <v>77</v>
      </c>
      <c r="B13" s="20" t="s">
        <v>63</v>
      </c>
      <c r="C13" s="21">
        <v>2850000</v>
      </c>
      <c r="D13" s="335"/>
      <c r="E13" s="46"/>
      <c r="F13" s="46"/>
      <c r="G13" s="46"/>
      <c r="H13" s="46"/>
      <c r="I13" s="46"/>
      <c r="J13" s="329"/>
    </row>
    <row r="14" spans="1:12">
      <c r="A14" s="10" t="s">
        <v>81</v>
      </c>
      <c r="B14" s="26" t="s">
        <v>59</v>
      </c>
      <c r="C14" s="28">
        <f>ROUND(SUM(C15:C19),-3)</f>
        <v>270203000</v>
      </c>
      <c r="D14" s="43"/>
      <c r="E14" s="43"/>
      <c r="F14" s="43"/>
      <c r="G14" s="43"/>
      <c r="H14" s="43"/>
      <c r="I14" s="43"/>
      <c r="J14" s="29"/>
    </row>
    <row r="15" spans="1:12" s="109" customFormat="1" ht="5.25" hidden="1">
      <c r="A15" s="101" t="s">
        <v>77</v>
      </c>
      <c r="B15" s="102" t="s">
        <v>40</v>
      </c>
      <c r="C15" s="103">
        <v>0</v>
      </c>
      <c r="D15" s="333" t="s">
        <v>272</v>
      </c>
      <c r="E15" s="104" t="s">
        <v>13</v>
      </c>
      <c r="F15" s="105"/>
      <c r="G15" s="106" t="s">
        <v>56</v>
      </c>
      <c r="H15" s="104" t="s">
        <v>16</v>
      </c>
      <c r="I15" s="106" t="s">
        <v>17</v>
      </c>
      <c r="J15" s="117"/>
    </row>
    <row r="16" spans="1:12" s="109" customFormat="1" ht="5.25" hidden="1">
      <c r="A16" s="101" t="s">
        <v>77</v>
      </c>
      <c r="B16" s="102" t="s">
        <v>67</v>
      </c>
      <c r="C16" s="103">
        <v>0</v>
      </c>
      <c r="D16" s="334"/>
      <c r="E16" s="104" t="s">
        <v>13</v>
      </c>
      <c r="F16" s="105"/>
      <c r="G16" s="106" t="s">
        <v>56</v>
      </c>
      <c r="H16" s="104" t="s">
        <v>16</v>
      </c>
      <c r="I16" s="106" t="s">
        <v>46</v>
      </c>
      <c r="J16" s="107"/>
      <c r="K16" s="108"/>
      <c r="L16" s="108"/>
    </row>
    <row r="17" spans="1:12" s="33" customFormat="1" ht="45">
      <c r="A17" s="37" t="s">
        <v>77</v>
      </c>
      <c r="B17" s="31" t="s">
        <v>291</v>
      </c>
      <c r="C17" s="21">
        <f>260899000+2609000</f>
        <v>263508000</v>
      </c>
      <c r="D17" s="334"/>
      <c r="E17" s="44" t="s">
        <v>13</v>
      </c>
      <c r="F17" s="42" t="s">
        <v>14</v>
      </c>
      <c r="G17" s="45" t="s">
        <v>273</v>
      </c>
      <c r="H17" s="44" t="s">
        <v>16</v>
      </c>
      <c r="I17" s="116" t="s">
        <v>292</v>
      </c>
      <c r="J17" s="36" t="s">
        <v>284</v>
      </c>
      <c r="K17" s="35">
        <v>12122000</v>
      </c>
      <c r="L17" s="35" t="e">
        <f>+J17+K17</f>
        <v>#VALUE!</v>
      </c>
    </row>
    <row r="18" spans="1:12" ht="31.5">
      <c r="A18" s="37" t="s">
        <v>77</v>
      </c>
      <c r="B18" s="20" t="s">
        <v>259</v>
      </c>
      <c r="C18" s="23">
        <v>6695000</v>
      </c>
      <c r="D18" s="334"/>
      <c r="E18" s="47" t="s">
        <v>13</v>
      </c>
      <c r="F18" s="47"/>
      <c r="G18" s="42" t="s">
        <v>273</v>
      </c>
      <c r="H18" s="47" t="s">
        <v>16</v>
      </c>
      <c r="I18" s="42" t="s">
        <v>156</v>
      </c>
      <c r="J18" s="30"/>
      <c r="K18" s="24"/>
      <c r="L18" s="24"/>
    </row>
    <row r="19" spans="1:12" s="190" customFormat="1" ht="5.25" hidden="1">
      <c r="A19" s="101" t="s">
        <v>77</v>
      </c>
      <c r="B19" s="169" t="s">
        <v>34</v>
      </c>
      <c r="C19" s="182">
        <v>0</v>
      </c>
      <c r="D19" s="335"/>
      <c r="E19" s="105" t="s">
        <v>13</v>
      </c>
      <c r="F19" s="105"/>
      <c r="G19" s="189" t="s">
        <v>56</v>
      </c>
      <c r="H19" s="105" t="s">
        <v>16</v>
      </c>
      <c r="I19" s="189" t="s">
        <v>46</v>
      </c>
      <c r="J19" s="203"/>
    </row>
    <row r="20" spans="1:12">
      <c r="A20" s="10"/>
      <c r="B20" s="26" t="s">
        <v>64</v>
      </c>
      <c r="C20" s="28">
        <f>ROUND((C5+C9),-3)</f>
        <v>293686000</v>
      </c>
      <c r="D20" s="43"/>
      <c r="E20" s="43"/>
      <c r="F20" s="43"/>
      <c r="G20" s="43"/>
      <c r="H20" s="43"/>
      <c r="I20" s="43"/>
      <c r="J20" s="29"/>
    </row>
    <row r="27" spans="1:12">
      <c r="C27" s="41">
        <f>+C20+421000+407000</f>
        <v>294514000</v>
      </c>
      <c r="D27" s="100">
        <f>+C20-C12</f>
        <v>293686000</v>
      </c>
      <c r="E27" s="100">
        <f>D27*0.9</f>
        <v>264317400</v>
      </c>
    </row>
    <row r="28" spans="1:12">
      <c r="C28" s="99"/>
      <c r="D28" s="100"/>
      <c r="E28" s="115"/>
    </row>
    <row r="50" spans="1:11" ht="42" customHeight="1"/>
    <row r="52" spans="1:11" ht="0.75" customHeight="1"/>
    <row r="53" spans="1:11" ht="0.7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293</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14080000</v>
      </c>
      <c r="D59" s="10"/>
      <c r="E59" s="43"/>
      <c r="F59" s="43"/>
      <c r="G59" s="43"/>
      <c r="H59" s="43"/>
      <c r="I59" s="43"/>
      <c r="J59" s="29"/>
    </row>
    <row r="60" spans="1:11" ht="47.25" customHeight="1">
      <c r="A60" s="37" t="s">
        <v>77</v>
      </c>
      <c r="B60" s="31" t="s">
        <v>290</v>
      </c>
      <c r="C60" s="21">
        <v>12808000</v>
      </c>
      <c r="D60" s="339" t="s">
        <v>271</v>
      </c>
      <c r="E60" s="44" t="s">
        <v>13</v>
      </c>
      <c r="F60" s="43"/>
      <c r="G60" s="45"/>
      <c r="H60" s="44" t="s">
        <v>16</v>
      </c>
      <c r="I60" s="45" t="s">
        <v>292</v>
      </c>
      <c r="J60" s="32"/>
      <c r="K60" s="33"/>
    </row>
    <row r="61" spans="1:11" ht="31.5">
      <c r="A61" s="37" t="s">
        <v>77</v>
      </c>
      <c r="B61" s="20" t="s">
        <v>80</v>
      </c>
      <c r="C61" s="21">
        <v>1215000</v>
      </c>
      <c r="D61" s="339"/>
      <c r="E61" s="44" t="s">
        <v>13</v>
      </c>
      <c r="F61" s="46"/>
      <c r="G61" s="46"/>
      <c r="H61" s="44" t="s">
        <v>16</v>
      </c>
      <c r="I61" s="45" t="s">
        <v>17</v>
      </c>
      <c r="J61" s="10"/>
      <c r="K61" s="27"/>
    </row>
    <row r="62" spans="1:11">
      <c r="A62" s="200" t="s">
        <v>77</v>
      </c>
      <c r="B62" s="46" t="s">
        <v>61</v>
      </c>
      <c r="C62" s="201">
        <v>57000</v>
      </c>
      <c r="D62" s="339"/>
      <c r="E62" s="46"/>
      <c r="F62" s="46"/>
      <c r="G62" s="46"/>
      <c r="H62" s="46"/>
      <c r="I62" s="46"/>
      <c r="J62" s="43"/>
      <c r="K62" s="27"/>
    </row>
    <row r="63" spans="1:11">
      <c r="A63" s="10" t="s">
        <v>60</v>
      </c>
      <c r="B63" s="26" t="s">
        <v>76</v>
      </c>
      <c r="C63" s="28">
        <f>+C64+C68</f>
        <v>279606000</v>
      </c>
      <c r="D63" s="43"/>
      <c r="E63" s="43"/>
      <c r="F63" s="43"/>
      <c r="G63" s="43"/>
      <c r="H63" s="43"/>
      <c r="I63" s="43"/>
      <c r="J63" s="29"/>
    </row>
    <row r="64" spans="1:11" ht="15.75" customHeight="1">
      <c r="A64" s="10" t="s">
        <v>78</v>
      </c>
      <c r="B64" s="26" t="s">
        <v>58</v>
      </c>
      <c r="C64" s="28">
        <f>SUM(C65:C67)</f>
        <v>9403000</v>
      </c>
      <c r="D64" s="43"/>
      <c r="E64" s="43"/>
      <c r="F64" s="43"/>
      <c r="G64" s="43"/>
      <c r="H64" s="43"/>
      <c r="I64" s="43"/>
      <c r="J64" s="29"/>
    </row>
    <row r="65" spans="1:11" ht="31.5" customHeight="1">
      <c r="A65" s="38" t="s">
        <v>77</v>
      </c>
      <c r="B65" s="20" t="s">
        <v>142</v>
      </c>
      <c r="C65" s="21">
        <v>6553000</v>
      </c>
      <c r="D65" s="333" t="s">
        <v>271</v>
      </c>
      <c r="E65" s="46"/>
      <c r="F65" s="46"/>
      <c r="G65" s="46"/>
      <c r="H65" s="46"/>
      <c r="I65" s="46"/>
      <c r="J65" s="329"/>
      <c r="K65" s="27"/>
    </row>
    <row r="66" spans="1:11" ht="31.5" hidden="1" customHeight="1">
      <c r="A66" s="187" t="s">
        <v>77</v>
      </c>
      <c r="B66" s="169" t="s">
        <v>158</v>
      </c>
      <c r="C66" s="103">
        <v>0</v>
      </c>
      <c r="D66" s="334"/>
      <c r="E66" s="169"/>
      <c r="F66" s="169"/>
      <c r="G66" s="169"/>
      <c r="H66" s="169"/>
      <c r="I66" s="169"/>
      <c r="J66" s="329"/>
      <c r="K66" s="27"/>
    </row>
    <row r="67" spans="1:11" ht="31.5" customHeight="1">
      <c r="A67" s="38" t="s">
        <v>77</v>
      </c>
      <c r="B67" s="20" t="s">
        <v>63</v>
      </c>
      <c r="C67" s="21">
        <v>2850000</v>
      </c>
      <c r="D67" s="335"/>
      <c r="E67" s="46"/>
      <c r="F67" s="46"/>
      <c r="G67" s="46"/>
      <c r="H67" s="46"/>
      <c r="I67" s="46"/>
      <c r="J67" s="329"/>
    </row>
    <row r="68" spans="1:11" ht="31.5" customHeight="1">
      <c r="A68" s="10" t="s">
        <v>81</v>
      </c>
      <c r="B68" s="26" t="s">
        <v>59</v>
      </c>
      <c r="C68" s="28">
        <f>ROUND(SUM(C69:C73),-3)</f>
        <v>270203000</v>
      </c>
      <c r="D68" s="43"/>
      <c r="E68" s="43"/>
      <c r="F68" s="43"/>
      <c r="G68" s="43"/>
      <c r="H68" s="43"/>
      <c r="I68" s="43"/>
      <c r="J68" s="29"/>
      <c r="K68" s="33"/>
    </row>
    <row r="69" spans="1:11" ht="31.5" hidden="1" customHeight="1">
      <c r="A69" s="101" t="s">
        <v>77</v>
      </c>
      <c r="B69" s="102" t="s">
        <v>40</v>
      </c>
      <c r="C69" s="103">
        <v>0</v>
      </c>
      <c r="D69" s="333" t="s">
        <v>272</v>
      </c>
      <c r="E69" s="104" t="s">
        <v>13</v>
      </c>
      <c r="F69" s="105"/>
      <c r="G69" s="106" t="s">
        <v>56</v>
      </c>
      <c r="H69" s="104" t="s">
        <v>16</v>
      </c>
      <c r="I69" s="106" t="s">
        <v>17</v>
      </c>
      <c r="J69" s="117"/>
      <c r="K69" s="35"/>
    </row>
    <row r="70" spans="1:11" hidden="1">
      <c r="A70" s="101" t="s">
        <v>77</v>
      </c>
      <c r="B70" s="102" t="s">
        <v>67</v>
      </c>
      <c r="C70" s="103">
        <v>0</v>
      </c>
      <c r="D70" s="334"/>
      <c r="E70" s="104" t="s">
        <v>13</v>
      </c>
      <c r="F70" s="105"/>
      <c r="G70" s="106" t="s">
        <v>56</v>
      </c>
      <c r="H70" s="104" t="s">
        <v>16</v>
      </c>
      <c r="I70" s="106" t="s">
        <v>46</v>
      </c>
      <c r="J70" s="107"/>
      <c r="K70" s="35">
        <v>12122000</v>
      </c>
    </row>
    <row r="71" spans="1:11" ht="45">
      <c r="A71" s="37" t="s">
        <v>77</v>
      </c>
      <c r="B71" s="31" t="s">
        <v>291</v>
      </c>
      <c r="C71" s="21">
        <f>260899000+2609000</f>
        <v>263508000</v>
      </c>
      <c r="D71" s="334"/>
      <c r="E71" s="44" t="s">
        <v>13</v>
      </c>
      <c r="F71" s="42" t="s">
        <v>14</v>
      </c>
      <c r="G71" s="45" t="s">
        <v>273</v>
      </c>
      <c r="H71" s="44" t="s">
        <v>16</v>
      </c>
      <c r="I71" s="116" t="s">
        <v>292</v>
      </c>
      <c r="J71" s="36" t="s">
        <v>284</v>
      </c>
      <c r="K71" s="24"/>
    </row>
    <row r="72" spans="1:11" ht="31.5">
      <c r="A72" s="37" t="s">
        <v>77</v>
      </c>
      <c r="B72" s="20" t="s">
        <v>259</v>
      </c>
      <c r="C72" s="23">
        <v>6695000</v>
      </c>
      <c r="D72" s="334"/>
      <c r="E72" s="47" t="s">
        <v>13</v>
      </c>
      <c r="F72" s="47"/>
      <c r="G72" s="42" t="s">
        <v>273</v>
      </c>
      <c r="H72" s="47" t="s">
        <v>16</v>
      </c>
      <c r="I72" s="42" t="s">
        <v>156</v>
      </c>
      <c r="J72" s="30"/>
    </row>
    <row r="73" spans="1:11" ht="0.75" customHeight="1">
      <c r="A73" s="101" t="s">
        <v>77</v>
      </c>
      <c r="B73" s="169" t="s">
        <v>34</v>
      </c>
      <c r="C73" s="182">
        <v>0</v>
      </c>
      <c r="D73" s="335"/>
      <c r="E73" s="105" t="s">
        <v>13</v>
      </c>
      <c r="F73" s="105"/>
      <c r="G73" s="189" t="s">
        <v>56</v>
      </c>
      <c r="H73" s="105" t="s">
        <v>16</v>
      </c>
      <c r="I73" s="189" t="s">
        <v>46</v>
      </c>
      <c r="J73" s="203"/>
    </row>
    <row r="74" spans="1:11">
      <c r="A74" s="10"/>
      <c r="B74" s="26" t="s">
        <v>64</v>
      </c>
      <c r="C74" s="28">
        <f>ROUND((C59+C63),-3)</f>
        <v>293686000</v>
      </c>
      <c r="D74" s="43"/>
      <c r="E74" s="43"/>
      <c r="F74" s="43"/>
      <c r="G74" s="43"/>
      <c r="H74" s="43"/>
      <c r="I74" s="43"/>
      <c r="J74" s="29"/>
    </row>
  </sheetData>
  <mergeCells count="13">
    <mergeCell ref="D69:D73"/>
    <mergeCell ref="A57:I57"/>
    <mergeCell ref="D60:D62"/>
    <mergeCell ref="D65:D67"/>
    <mergeCell ref="A1:I1"/>
    <mergeCell ref="A2:I2"/>
    <mergeCell ref="H3:I3"/>
    <mergeCell ref="D6:D8"/>
    <mergeCell ref="J65:J67"/>
    <mergeCell ref="D11:D13"/>
    <mergeCell ref="J11:J13"/>
    <mergeCell ref="D15:D19"/>
    <mergeCell ref="A56:I56"/>
  </mergeCells>
  <phoneticPr fontId="4" type="noConversion"/>
  <pageMargins left="0.4" right="0.17" top="0.59"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opLeftCell="A34" workbookViewId="0">
      <selection activeCell="C68" sqref="C68"/>
    </sheetView>
  </sheetViews>
  <sheetFormatPr defaultColWidth="9" defaultRowHeight="15.75"/>
  <cols>
    <col min="1" max="1" width="4.109375" style="1" customWidth="1"/>
    <col min="2" max="2" width="35" style="1" customWidth="1"/>
    <col min="3" max="3" width="12.44140625" style="1" customWidth="1"/>
    <col min="4" max="4" width="8.88671875" style="1" customWidth="1"/>
    <col min="5" max="5" width="11.21875" style="1" customWidth="1"/>
    <col min="6" max="6" width="8.21875" style="1" customWidth="1"/>
    <col min="7" max="7" width="14.88671875" style="1" customWidth="1"/>
    <col min="8" max="8" width="8.109375" style="1" customWidth="1"/>
    <col min="9" max="9" width="12.6640625" style="1" customWidth="1"/>
    <col min="10" max="10" width="9"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260</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ht="16.5">
      <c r="A5" s="10" t="s">
        <v>57</v>
      </c>
      <c r="B5" s="177" t="s">
        <v>75</v>
      </c>
      <c r="C5" s="28">
        <f>SUM(C6:C8)</f>
        <v>52403808</v>
      </c>
      <c r="D5" s="10"/>
      <c r="E5" s="43"/>
      <c r="F5" s="43"/>
      <c r="G5" s="43"/>
      <c r="H5" s="43"/>
      <c r="I5" s="43"/>
      <c r="J5" s="29"/>
    </row>
    <row r="6" spans="1:10" s="33" customFormat="1" ht="33">
      <c r="A6" s="37" t="s">
        <v>77</v>
      </c>
      <c r="B6" s="178" t="s">
        <v>277</v>
      </c>
      <c r="C6" s="21">
        <f>6481802+45732006</f>
        <v>52213808</v>
      </c>
      <c r="D6" s="339" t="s">
        <v>271</v>
      </c>
      <c r="E6" s="44" t="s">
        <v>13</v>
      </c>
      <c r="F6" s="43"/>
      <c r="G6" s="45"/>
      <c r="H6" s="44" t="s">
        <v>16</v>
      </c>
      <c r="I6" s="45" t="s">
        <v>45</v>
      </c>
      <c r="J6" s="32"/>
    </row>
    <row r="7" spans="1:10" s="171" customFormat="1" ht="5.25" hidden="1">
      <c r="A7" s="101" t="s">
        <v>77</v>
      </c>
      <c r="B7" s="181" t="s">
        <v>262</v>
      </c>
      <c r="C7" s="103">
        <v>0</v>
      </c>
      <c r="D7" s="339"/>
      <c r="E7" s="104"/>
      <c r="F7" s="170"/>
      <c r="G7" s="106"/>
      <c r="H7" s="104"/>
      <c r="I7" s="106"/>
      <c r="J7" s="170"/>
    </row>
    <row r="8" spans="1:10" s="173" customFormat="1" ht="16.5">
      <c r="A8" s="37" t="s">
        <v>77</v>
      </c>
      <c r="B8" s="179" t="s">
        <v>270</v>
      </c>
      <c r="C8" s="21">
        <v>190000</v>
      </c>
      <c r="D8" s="339"/>
      <c r="E8" s="44"/>
      <c r="F8" s="43"/>
      <c r="G8" s="45"/>
      <c r="H8" s="44"/>
      <c r="I8" s="45"/>
      <c r="J8" s="172"/>
    </row>
    <row r="9" spans="1:10" ht="16.5">
      <c r="A9" s="10" t="s">
        <v>60</v>
      </c>
      <c r="B9" s="177" t="s">
        <v>76</v>
      </c>
      <c r="C9" s="28">
        <f>+C10+C17</f>
        <v>984945868</v>
      </c>
      <c r="D9" s="43"/>
      <c r="E9" s="43"/>
      <c r="F9" s="43"/>
      <c r="G9" s="43"/>
      <c r="H9" s="43"/>
      <c r="I9" s="43"/>
      <c r="J9" s="29"/>
    </row>
    <row r="10" spans="1:10" ht="33">
      <c r="A10" s="10" t="s">
        <v>78</v>
      </c>
      <c r="B10" s="177" t="s">
        <v>58</v>
      </c>
      <c r="C10" s="28">
        <f>SUM(C11:C16)</f>
        <v>101640868</v>
      </c>
      <c r="D10" s="43"/>
      <c r="E10" s="43"/>
      <c r="F10" s="43"/>
      <c r="G10" s="43"/>
      <c r="H10" s="43"/>
      <c r="I10" s="43"/>
      <c r="J10" s="29"/>
    </row>
    <row r="11" spans="1:10" s="27" customFormat="1" ht="16.5">
      <c r="A11" s="37" t="s">
        <v>77</v>
      </c>
      <c r="B11" s="179" t="s">
        <v>142</v>
      </c>
      <c r="C11" s="21">
        <v>18083000</v>
      </c>
      <c r="D11" s="333" t="s">
        <v>271</v>
      </c>
      <c r="E11" s="44"/>
      <c r="F11" s="46"/>
      <c r="G11" s="46"/>
      <c r="H11" s="44"/>
      <c r="I11" s="45"/>
      <c r="J11" s="10"/>
    </row>
    <row r="12" spans="1:10" s="27" customFormat="1" ht="16.5">
      <c r="A12" s="37" t="s">
        <v>77</v>
      </c>
      <c r="B12" s="179" t="s">
        <v>263</v>
      </c>
      <c r="C12" s="23">
        <v>24659868</v>
      </c>
      <c r="D12" s="334"/>
      <c r="E12" s="44"/>
      <c r="F12" s="46"/>
      <c r="G12" s="46"/>
      <c r="H12" s="44"/>
      <c r="I12" s="45"/>
      <c r="J12" s="10"/>
    </row>
    <row r="13" spans="1:10" s="27" customFormat="1" ht="16.5">
      <c r="A13" s="37" t="s">
        <v>77</v>
      </c>
      <c r="B13" s="179" t="s">
        <v>264</v>
      </c>
      <c r="C13" s="23">
        <v>9500000</v>
      </c>
      <c r="D13" s="334"/>
      <c r="E13" s="44"/>
      <c r="F13" s="46"/>
      <c r="G13" s="46"/>
      <c r="H13" s="44"/>
      <c r="I13" s="45"/>
      <c r="J13" s="10"/>
    </row>
    <row r="14" spans="1:10" s="171" customFormat="1" ht="5.25" hidden="1">
      <c r="A14" s="101" t="s">
        <v>77</v>
      </c>
      <c r="B14" s="181" t="s">
        <v>265</v>
      </c>
      <c r="C14" s="182">
        <v>0</v>
      </c>
      <c r="D14" s="334"/>
      <c r="E14" s="104"/>
      <c r="F14" s="169"/>
      <c r="G14" s="169"/>
      <c r="H14" s="104"/>
      <c r="I14" s="106"/>
      <c r="J14" s="170"/>
    </row>
    <row r="15" spans="1:10" s="171" customFormat="1" ht="5.25" hidden="1">
      <c r="A15" s="101" t="s">
        <v>77</v>
      </c>
      <c r="B15" s="181" t="s">
        <v>266</v>
      </c>
      <c r="C15" s="182">
        <v>0</v>
      </c>
      <c r="D15" s="334"/>
      <c r="E15" s="104"/>
      <c r="F15" s="169"/>
      <c r="G15" s="169"/>
      <c r="H15" s="104"/>
      <c r="I15" s="106"/>
      <c r="J15" s="170"/>
    </row>
    <row r="16" spans="1:10" s="27" customFormat="1" ht="16.5">
      <c r="A16" s="37" t="s">
        <v>77</v>
      </c>
      <c r="B16" s="179" t="s">
        <v>267</v>
      </c>
      <c r="C16" s="23">
        <v>49398000</v>
      </c>
      <c r="D16" s="335"/>
      <c r="E16" s="44"/>
      <c r="F16" s="46"/>
      <c r="G16" s="46"/>
      <c r="H16" s="44"/>
      <c r="I16" s="45"/>
      <c r="J16" s="10"/>
    </row>
    <row r="17" spans="1:12" ht="33">
      <c r="A17" s="10" t="s">
        <v>81</v>
      </c>
      <c r="B17" s="177" t="s">
        <v>59</v>
      </c>
      <c r="C17" s="28">
        <f>ROUND(SUM(C18:C20),-3)</f>
        <v>883305000</v>
      </c>
      <c r="D17" s="10"/>
      <c r="E17" s="10"/>
      <c r="F17" s="10"/>
      <c r="G17" s="10"/>
      <c r="H17" s="10"/>
      <c r="I17" s="10"/>
      <c r="J17" s="29"/>
    </row>
    <row r="18" spans="1:12" s="109" customFormat="1" ht="5.25" hidden="1">
      <c r="A18" s="101" t="s">
        <v>77</v>
      </c>
      <c r="B18" s="102" t="s">
        <v>268</v>
      </c>
      <c r="C18" s="182">
        <v>0</v>
      </c>
      <c r="D18" s="333" t="s">
        <v>272</v>
      </c>
      <c r="E18" s="104" t="s">
        <v>13</v>
      </c>
      <c r="F18" s="105"/>
      <c r="G18" s="106" t="s">
        <v>273</v>
      </c>
      <c r="H18" s="104" t="s">
        <v>16</v>
      </c>
      <c r="I18" s="106" t="s">
        <v>45</v>
      </c>
      <c r="J18" s="117"/>
    </row>
    <row r="19" spans="1:12" s="33" customFormat="1" ht="60">
      <c r="A19" s="37" t="s">
        <v>77</v>
      </c>
      <c r="B19" s="178" t="s">
        <v>278</v>
      </c>
      <c r="C19" s="21">
        <f>846889000+33875560</f>
        <v>880764560</v>
      </c>
      <c r="D19" s="334"/>
      <c r="E19" s="47" t="s">
        <v>13</v>
      </c>
      <c r="F19" s="42" t="s">
        <v>14</v>
      </c>
      <c r="G19" s="45" t="s">
        <v>273</v>
      </c>
      <c r="H19" s="44" t="s">
        <v>16</v>
      </c>
      <c r="I19" s="116" t="s">
        <v>130</v>
      </c>
      <c r="J19" s="175" t="s">
        <v>275</v>
      </c>
      <c r="K19" s="35">
        <v>12122000</v>
      </c>
      <c r="L19" s="35" t="e">
        <f>+J19+K19</f>
        <v>#VALUE!</v>
      </c>
    </row>
    <row r="20" spans="1:12" ht="30">
      <c r="A20" s="37" t="s">
        <v>77</v>
      </c>
      <c r="B20" s="180" t="s">
        <v>279</v>
      </c>
      <c r="C20" s="23">
        <v>2540667</v>
      </c>
      <c r="D20" s="334"/>
      <c r="E20" s="47" t="s">
        <v>13</v>
      </c>
      <c r="F20" s="47"/>
      <c r="G20" s="45" t="s">
        <v>273</v>
      </c>
      <c r="H20" s="47" t="s">
        <v>16</v>
      </c>
      <c r="I20" s="42" t="s">
        <v>280</v>
      </c>
      <c r="J20" s="176"/>
      <c r="K20" s="24"/>
      <c r="L20" s="24"/>
    </row>
    <row r="21" spans="1:12" ht="16.5">
      <c r="A21" s="10"/>
      <c r="B21" s="177" t="s">
        <v>64</v>
      </c>
      <c r="C21" s="28">
        <f>ROUND((C5+C9),-3)</f>
        <v>1037350000</v>
      </c>
      <c r="D21" s="43"/>
      <c r="E21" s="43"/>
      <c r="F21" s="43"/>
      <c r="G21" s="43"/>
      <c r="H21" s="43"/>
      <c r="I21" s="43"/>
      <c r="J21" s="29"/>
    </row>
    <row r="48" ht="57.75" customHeight="1"/>
    <row r="49" spans="1:10" ht="105.75" customHeight="1"/>
    <row r="50" spans="1:10" ht="98.25" customHeight="1"/>
    <row r="51" spans="1:10" ht="0.75" customHeight="1"/>
    <row r="52" spans="1:10" ht="0.75" customHeight="1"/>
    <row r="53" spans="1:10" ht="32.25" hidden="1" customHeight="1"/>
    <row r="54" spans="1:10" ht="16.5">
      <c r="A54" s="330" t="s">
        <v>27</v>
      </c>
      <c r="B54" s="330"/>
      <c r="C54" s="330"/>
      <c r="D54" s="330"/>
      <c r="E54" s="330"/>
      <c r="F54" s="330"/>
      <c r="G54" s="330"/>
      <c r="H54" s="330"/>
      <c r="I54" s="330"/>
    </row>
    <row r="55" spans="1:10" ht="16.5">
      <c r="A55" s="331" t="s">
        <v>281</v>
      </c>
      <c r="B55" s="331"/>
      <c r="C55" s="331"/>
      <c r="D55" s="331"/>
      <c r="E55" s="331"/>
      <c r="F55" s="331"/>
      <c r="G55" s="331"/>
      <c r="H55" s="331"/>
      <c r="I55" s="331"/>
    </row>
    <row r="56" spans="1:10" ht="63">
      <c r="A56" s="10" t="s">
        <v>21</v>
      </c>
      <c r="B56" s="10" t="s">
        <v>0</v>
      </c>
      <c r="C56" s="10" t="s">
        <v>83</v>
      </c>
      <c r="D56" s="10" t="s">
        <v>1</v>
      </c>
      <c r="E56" s="10" t="s">
        <v>2</v>
      </c>
      <c r="F56" s="10" t="s">
        <v>3</v>
      </c>
      <c r="G56" s="10" t="s">
        <v>4</v>
      </c>
      <c r="H56" s="10" t="s">
        <v>5</v>
      </c>
      <c r="I56" s="10" t="s">
        <v>6</v>
      </c>
      <c r="J56" s="10" t="s">
        <v>65</v>
      </c>
    </row>
    <row r="57" spans="1:10" ht="16.5">
      <c r="A57" s="10" t="s">
        <v>57</v>
      </c>
      <c r="B57" s="177" t="s">
        <v>75</v>
      </c>
      <c r="C57" s="28">
        <f>SUM(C58:C60)</f>
        <v>52403808</v>
      </c>
      <c r="D57" s="10"/>
      <c r="E57" s="43"/>
      <c r="F57" s="43"/>
      <c r="G57" s="43"/>
      <c r="H57" s="43"/>
      <c r="I57" s="43"/>
      <c r="J57" s="29"/>
    </row>
    <row r="58" spans="1:10" s="33" customFormat="1" ht="33">
      <c r="A58" s="37" t="s">
        <v>77</v>
      </c>
      <c r="B58" s="178" t="s">
        <v>277</v>
      </c>
      <c r="C58" s="21">
        <f>6481802+45732006</f>
        <v>52213808</v>
      </c>
      <c r="D58" s="339" t="s">
        <v>271</v>
      </c>
      <c r="E58" s="44" t="s">
        <v>13</v>
      </c>
      <c r="F58" s="43"/>
      <c r="G58" s="45"/>
      <c r="H58" s="44" t="s">
        <v>16</v>
      </c>
      <c r="I58" s="45" t="s">
        <v>45</v>
      </c>
      <c r="J58" s="32"/>
    </row>
    <row r="59" spans="1:10" s="171" customFormat="1" ht="5.25" hidden="1">
      <c r="A59" s="101" t="s">
        <v>77</v>
      </c>
      <c r="B59" s="181" t="s">
        <v>262</v>
      </c>
      <c r="C59" s="103">
        <v>0</v>
      </c>
      <c r="D59" s="339"/>
      <c r="E59" s="104"/>
      <c r="F59" s="170"/>
      <c r="G59" s="106"/>
      <c r="H59" s="104"/>
      <c r="I59" s="106"/>
      <c r="J59" s="170"/>
    </row>
    <row r="60" spans="1:10" s="173" customFormat="1" ht="16.5">
      <c r="A60" s="37" t="s">
        <v>77</v>
      </c>
      <c r="B60" s="179" t="s">
        <v>270</v>
      </c>
      <c r="C60" s="21">
        <v>190000</v>
      </c>
      <c r="D60" s="339"/>
      <c r="E60" s="44"/>
      <c r="F60" s="43"/>
      <c r="G60" s="45"/>
      <c r="H60" s="44"/>
      <c r="I60" s="45"/>
      <c r="J60" s="172"/>
    </row>
    <row r="61" spans="1:10" ht="16.5">
      <c r="A61" s="10" t="s">
        <v>60</v>
      </c>
      <c r="B61" s="177" t="s">
        <v>76</v>
      </c>
      <c r="C61" s="28">
        <f>+C62+C69</f>
        <v>984945868</v>
      </c>
      <c r="D61" s="43"/>
      <c r="E61" s="43"/>
      <c r="F61" s="43"/>
      <c r="G61" s="43"/>
      <c r="H61" s="43"/>
      <c r="I61" s="43"/>
      <c r="J61" s="29"/>
    </row>
    <row r="62" spans="1:10" ht="33">
      <c r="A62" s="10" t="s">
        <v>78</v>
      </c>
      <c r="B62" s="177" t="s">
        <v>58</v>
      </c>
      <c r="C62" s="28">
        <f>SUM(C63:C68)</f>
        <v>101640868</v>
      </c>
      <c r="D62" s="43"/>
      <c r="E62" s="43"/>
      <c r="F62" s="43"/>
      <c r="G62" s="43"/>
      <c r="H62" s="43"/>
      <c r="I62" s="43"/>
      <c r="J62" s="29"/>
    </row>
    <row r="63" spans="1:10" s="27" customFormat="1" ht="16.5" customHeight="1">
      <c r="A63" s="37" t="s">
        <v>77</v>
      </c>
      <c r="B63" s="179" t="s">
        <v>142</v>
      </c>
      <c r="C63" s="21">
        <v>18083000</v>
      </c>
      <c r="D63" s="333" t="s">
        <v>271</v>
      </c>
      <c r="E63" s="44"/>
      <c r="F63" s="46"/>
      <c r="G63" s="46"/>
      <c r="H63" s="44"/>
      <c r="I63" s="45"/>
      <c r="J63" s="10"/>
    </row>
    <row r="64" spans="1:10" s="27" customFormat="1" ht="16.5">
      <c r="A64" s="37" t="s">
        <v>77</v>
      </c>
      <c r="B64" s="179" t="s">
        <v>263</v>
      </c>
      <c r="C64" s="23">
        <v>24659868</v>
      </c>
      <c r="D64" s="334"/>
      <c r="E64" s="44"/>
      <c r="F64" s="46"/>
      <c r="G64" s="46"/>
      <c r="H64" s="44"/>
      <c r="I64" s="45"/>
      <c r="J64" s="10"/>
    </row>
    <row r="65" spans="1:12" s="27" customFormat="1" ht="16.5">
      <c r="A65" s="37" t="s">
        <v>77</v>
      </c>
      <c r="B65" s="179" t="s">
        <v>264</v>
      </c>
      <c r="C65" s="23">
        <v>9500000</v>
      </c>
      <c r="D65" s="334"/>
      <c r="E65" s="44"/>
      <c r="F65" s="46"/>
      <c r="G65" s="46"/>
      <c r="H65" s="44"/>
      <c r="I65" s="45"/>
      <c r="J65" s="10"/>
    </row>
    <row r="66" spans="1:12" s="27" customFormat="1" hidden="1">
      <c r="A66" s="101" t="s">
        <v>77</v>
      </c>
      <c r="B66" s="181" t="s">
        <v>265</v>
      </c>
      <c r="C66" s="182">
        <v>0</v>
      </c>
      <c r="D66" s="334"/>
      <c r="E66" s="104"/>
      <c r="F66" s="169"/>
      <c r="G66" s="169"/>
      <c r="H66" s="104"/>
      <c r="I66" s="106"/>
      <c r="J66" s="170"/>
    </row>
    <row r="67" spans="1:12" s="27" customFormat="1" hidden="1">
      <c r="A67" s="101" t="s">
        <v>77</v>
      </c>
      <c r="B67" s="181" t="s">
        <v>266</v>
      </c>
      <c r="C67" s="182">
        <v>0</v>
      </c>
      <c r="D67" s="334"/>
      <c r="E67" s="104"/>
      <c r="F67" s="169"/>
      <c r="G67" s="169"/>
      <c r="H67" s="104"/>
      <c r="I67" s="106"/>
      <c r="J67" s="170"/>
    </row>
    <row r="68" spans="1:12" s="27" customFormat="1" ht="16.5">
      <c r="A68" s="37" t="s">
        <v>77</v>
      </c>
      <c r="B68" s="179" t="s">
        <v>267</v>
      </c>
      <c r="C68" s="23">
        <v>49398000</v>
      </c>
      <c r="D68" s="335"/>
      <c r="E68" s="44"/>
      <c r="F68" s="46"/>
      <c r="G68" s="46"/>
      <c r="H68" s="44"/>
      <c r="I68" s="45"/>
      <c r="J68" s="10"/>
    </row>
    <row r="69" spans="1:12" ht="33">
      <c r="A69" s="10" t="s">
        <v>81</v>
      </c>
      <c r="B69" s="177" t="s">
        <v>59</v>
      </c>
      <c r="C69" s="28">
        <f>ROUND(SUM(C70:C72),-3)</f>
        <v>883305000</v>
      </c>
      <c r="D69" s="10"/>
      <c r="E69" s="10"/>
      <c r="F69" s="10"/>
      <c r="G69" s="10"/>
      <c r="H69" s="10"/>
      <c r="I69" s="10"/>
      <c r="J69" s="29"/>
    </row>
    <row r="70" spans="1:12" s="33" customFormat="1" hidden="1">
      <c r="A70" s="101" t="s">
        <v>77</v>
      </c>
      <c r="B70" s="102" t="s">
        <v>268</v>
      </c>
      <c r="C70" s="182">
        <v>0</v>
      </c>
      <c r="D70" s="333" t="s">
        <v>272</v>
      </c>
      <c r="E70" s="104" t="s">
        <v>13</v>
      </c>
      <c r="F70" s="105"/>
      <c r="G70" s="106" t="s">
        <v>273</v>
      </c>
      <c r="H70" s="104" t="s">
        <v>16</v>
      </c>
      <c r="I70" s="106" t="s">
        <v>45</v>
      </c>
      <c r="J70" s="117"/>
    </row>
    <row r="71" spans="1:12" s="33" customFormat="1" ht="60">
      <c r="A71" s="37" t="s">
        <v>77</v>
      </c>
      <c r="B71" s="178" t="s">
        <v>278</v>
      </c>
      <c r="C71" s="21">
        <f>846889000+33875560</f>
        <v>880764560</v>
      </c>
      <c r="D71" s="334"/>
      <c r="E71" s="47" t="s">
        <v>13</v>
      </c>
      <c r="F71" s="42" t="s">
        <v>14</v>
      </c>
      <c r="G71" s="45" t="s">
        <v>273</v>
      </c>
      <c r="H71" s="44" t="s">
        <v>16</v>
      </c>
      <c r="I71" s="116" t="s">
        <v>130</v>
      </c>
      <c r="J71" s="175" t="s">
        <v>275</v>
      </c>
      <c r="K71" s="35">
        <v>12122000</v>
      </c>
      <c r="L71" s="35" t="e">
        <f>+J71+K71</f>
        <v>#VALUE!</v>
      </c>
    </row>
    <row r="72" spans="1:12" ht="30">
      <c r="A72" s="37" t="s">
        <v>77</v>
      </c>
      <c r="B72" s="180" t="s">
        <v>279</v>
      </c>
      <c r="C72" s="23">
        <v>2540667</v>
      </c>
      <c r="D72" s="334"/>
      <c r="E72" s="47" t="s">
        <v>13</v>
      </c>
      <c r="F72" s="47"/>
      <c r="G72" s="45" t="s">
        <v>273</v>
      </c>
      <c r="H72" s="47" t="s">
        <v>16</v>
      </c>
      <c r="I72" s="42" t="s">
        <v>280</v>
      </c>
      <c r="J72" s="176"/>
      <c r="K72" s="24"/>
      <c r="L72" s="24"/>
    </row>
    <row r="73" spans="1:12" ht="16.5">
      <c r="A73" s="10"/>
      <c r="B73" s="177" t="s">
        <v>64</v>
      </c>
      <c r="C73" s="28">
        <f>ROUND((C57+C61),-3)</f>
        <v>1037350000</v>
      </c>
      <c r="D73" s="43"/>
      <c r="E73" s="43"/>
      <c r="F73" s="43"/>
      <c r="G73" s="43"/>
      <c r="H73" s="43"/>
      <c r="I73" s="43"/>
      <c r="J73" s="29"/>
    </row>
    <row r="83" spans="3:3">
      <c r="C83" s="1">
        <v>846889</v>
      </c>
    </row>
    <row r="84" spans="3:3">
      <c r="C84" s="1">
        <v>18083</v>
      </c>
    </row>
    <row r="85" spans="3:3">
      <c r="C85" s="1">
        <v>76874</v>
      </c>
    </row>
    <row r="86" spans="3:3">
      <c r="C86" s="1">
        <v>46106</v>
      </c>
    </row>
    <row r="87" spans="3:3">
      <c r="C87" s="1">
        <v>49398</v>
      </c>
    </row>
    <row r="88" spans="3:3">
      <c r="C88" s="24">
        <f>SUM(C83:C87)</f>
        <v>1037350</v>
      </c>
    </row>
    <row r="107" spans="3:3">
      <c r="C107" s="1">
        <v>160</v>
      </c>
    </row>
  </sheetData>
  <mergeCells count="11">
    <mergeCell ref="A1:I1"/>
    <mergeCell ref="A2:I2"/>
    <mergeCell ref="H3:I3"/>
    <mergeCell ref="D6:D8"/>
    <mergeCell ref="D58:D60"/>
    <mergeCell ref="D63:D68"/>
    <mergeCell ref="D70:D72"/>
    <mergeCell ref="D11:D16"/>
    <mergeCell ref="D18:D20"/>
    <mergeCell ref="A54:I54"/>
    <mergeCell ref="A55:I55"/>
  </mergeCells>
  <phoneticPr fontId="4" type="noConversion"/>
  <pageMargins left="0.32" right="0.17" top="0.6" bottom="0.35"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57" workbookViewId="0">
      <selection activeCell="A57" sqref="A1:IV65536"/>
    </sheetView>
  </sheetViews>
  <sheetFormatPr defaultColWidth="9" defaultRowHeight="15.75"/>
  <cols>
    <col min="1" max="1" width="4.109375" style="1" customWidth="1"/>
    <col min="2" max="2" width="34.77734375" style="1" customWidth="1"/>
    <col min="3" max="3" width="11.77734375" style="1" customWidth="1"/>
    <col min="4" max="5" width="11.21875" style="1" customWidth="1"/>
    <col min="6" max="6" width="8.21875" style="1" customWidth="1"/>
    <col min="7" max="7" width="12.77734375" style="1" customWidth="1"/>
    <col min="8" max="8" width="7.33203125" style="1" customWidth="1"/>
    <col min="9" max="9" width="12.6640625" style="1" customWidth="1"/>
    <col min="10" max="10" width="11.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282</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139433000</v>
      </c>
      <c r="D5" s="10"/>
      <c r="E5" s="43"/>
      <c r="F5" s="43"/>
      <c r="G5" s="43"/>
      <c r="H5" s="43"/>
      <c r="I5" s="43"/>
      <c r="J5" s="29"/>
    </row>
    <row r="6" spans="1:12" s="33" customFormat="1" ht="31.5">
      <c r="A6" s="37" t="s">
        <v>77</v>
      </c>
      <c r="B6" s="31" t="s">
        <v>213</v>
      </c>
      <c r="C6" s="21">
        <f>30987000+103779000</f>
        <v>134766000</v>
      </c>
      <c r="D6" s="339" t="s">
        <v>286</v>
      </c>
      <c r="E6" s="44" t="s">
        <v>13</v>
      </c>
      <c r="F6" s="191"/>
      <c r="G6" s="45"/>
      <c r="H6" s="44" t="s">
        <v>16</v>
      </c>
      <c r="I6" s="45" t="s">
        <v>66</v>
      </c>
      <c r="J6" s="32"/>
    </row>
    <row r="7" spans="1:12" s="194" customFormat="1" ht="31.5">
      <c r="A7" s="37" t="s">
        <v>77</v>
      </c>
      <c r="B7" s="31" t="s">
        <v>80</v>
      </c>
      <c r="C7" s="21">
        <f>2366000+2301000</f>
        <v>4667000</v>
      </c>
      <c r="D7" s="339"/>
      <c r="E7" s="44" t="s">
        <v>13</v>
      </c>
      <c r="F7" s="192"/>
      <c r="G7" s="192"/>
      <c r="H7" s="44" t="s">
        <v>16</v>
      </c>
      <c r="I7" s="45" t="s">
        <v>17</v>
      </c>
      <c r="J7" s="193"/>
    </row>
    <row r="8" spans="1:12" s="171" customFormat="1" ht="5.25" hidden="1">
      <c r="A8" s="187" t="s">
        <v>77</v>
      </c>
      <c r="B8" s="169" t="s">
        <v>61</v>
      </c>
      <c r="C8" s="182">
        <v>0</v>
      </c>
      <c r="D8" s="339"/>
      <c r="E8" s="169"/>
      <c r="F8" s="169"/>
      <c r="G8" s="169"/>
      <c r="H8" s="169"/>
      <c r="I8" s="169"/>
      <c r="J8" s="170"/>
    </row>
    <row r="9" spans="1:12">
      <c r="A9" s="10" t="s">
        <v>60</v>
      </c>
      <c r="B9" s="26" t="s">
        <v>76</v>
      </c>
      <c r="C9" s="28">
        <f>+C10+C14</f>
        <v>2655731220</v>
      </c>
      <c r="D9" s="43"/>
      <c r="E9" s="43"/>
      <c r="F9" s="43"/>
      <c r="G9" s="43"/>
      <c r="H9" s="43"/>
      <c r="I9" s="43"/>
      <c r="J9" s="29"/>
    </row>
    <row r="10" spans="1:12" ht="31.5">
      <c r="A10" s="10" t="s">
        <v>78</v>
      </c>
      <c r="B10" s="26" t="s">
        <v>58</v>
      </c>
      <c r="C10" s="28">
        <f>SUM(C11:C13)</f>
        <v>81357220</v>
      </c>
      <c r="D10" s="43"/>
      <c r="E10" s="43"/>
      <c r="F10" s="43"/>
      <c r="G10" s="43"/>
      <c r="H10" s="43"/>
      <c r="I10" s="43"/>
      <c r="J10" s="29"/>
    </row>
    <row r="11" spans="1:12" s="198" customFormat="1" ht="31.5" hidden="1" customHeight="1">
      <c r="A11" s="101" t="s">
        <v>77</v>
      </c>
      <c r="B11" s="102" t="s">
        <v>142</v>
      </c>
      <c r="C11" s="103">
        <v>0</v>
      </c>
      <c r="D11" s="333" t="s">
        <v>286</v>
      </c>
      <c r="E11" s="102"/>
      <c r="F11" s="102"/>
      <c r="G11" s="102"/>
      <c r="H11" s="102"/>
      <c r="I11" s="102"/>
      <c r="J11" s="329"/>
    </row>
    <row r="12" spans="1:12" s="194" customFormat="1" ht="35.25" customHeight="1">
      <c r="A12" s="37" t="s">
        <v>77</v>
      </c>
      <c r="B12" s="31" t="s">
        <v>158</v>
      </c>
      <c r="C12" s="21">
        <v>54803220</v>
      </c>
      <c r="D12" s="334"/>
      <c r="E12" s="192"/>
      <c r="F12" s="192"/>
      <c r="G12" s="192"/>
      <c r="H12" s="192"/>
      <c r="I12" s="192"/>
      <c r="J12" s="329"/>
    </row>
    <row r="13" spans="1:12" s="194" customFormat="1" ht="35.25" customHeight="1">
      <c r="A13" s="37" t="s">
        <v>77</v>
      </c>
      <c r="B13" s="31" t="s">
        <v>63</v>
      </c>
      <c r="C13" s="21">
        <v>26554000</v>
      </c>
      <c r="D13" s="335"/>
      <c r="E13" s="192"/>
      <c r="F13" s="192"/>
      <c r="G13" s="192"/>
      <c r="H13" s="192"/>
      <c r="I13" s="192"/>
      <c r="J13" s="329"/>
    </row>
    <row r="14" spans="1:12" ht="51.75" customHeight="1">
      <c r="A14" s="10" t="s">
        <v>81</v>
      </c>
      <c r="B14" s="26" t="s">
        <v>59</v>
      </c>
      <c r="C14" s="28">
        <f>ROUND(SUM(C15:C19),-3)</f>
        <v>2574374000</v>
      </c>
      <c r="D14" s="43"/>
      <c r="E14" s="43"/>
      <c r="F14" s="43"/>
      <c r="G14" s="43"/>
      <c r="H14" s="43"/>
      <c r="I14" s="43"/>
      <c r="J14" s="29"/>
    </row>
    <row r="15" spans="1:12" ht="31.5">
      <c r="A15" s="38" t="s">
        <v>77</v>
      </c>
      <c r="B15" s="20" t="s">
        <v>40</v>
      </c>
      <c r="C15" s="21">
        <f>2171000</f>
        <v>2171000</v>
      </c>
      <c r="D15" s="333" t="s">
        <v>286</v>
      </c>
      <c r="E15" s="47" t="s">
        <v>13</v>
      </c>
      <c r="F15" s="42"/>
      <c r="G15" s="188" t="s">
        <v>273</v>
      </c>
      <c r="H15" s="47" t="s">
        <v>16</v>
      </c>
      <c r="I15" s="42" t="s">
        <v>45</v>
      </c>
      <c r="J15" s="29"/>
    </row>
    <row r="16" spans="1:12" s="197" customFormat="1" ht="15">
      <c r="A16" s="195" t="s">
        <v>77</v>
      </c>
      <c r="B16" s="46" t="s">
        <v>67</v>
      </c>
      <c r="C16" s="21">
        <v>31865000</v>
      </c>
      <c r="D16" s="334"/>
      <c r="E16" s="47" t="s">
        <v>13</v>
      </c>
      <c r="F16" s="47"/>
      <c r="G16" s="188" t="s">
        <v>273</v>
      </c>
      <c r="H16" s="47" t="s">
        <v>16</v>
      </c>
      <c r="I16" s="42" t="s">
        <v>46</v>
      </c>
      <c r="J16" s="176"/>
      <c r="K16" s="196"/>
      <c r="L16" s="196"/>
    </row>
    <row r="17" spans="1:12" ht="45">
      <c r="A17" s="38" t="s">
        <v>77</v>
      </c>
      <c r="B17" s="20" t="s">
        <v>287</v>
      </c>
      <c r="C17" s="21">
        <f>2387689000+71631000</f>
        <v>2459320000</v>
      </c>
      <c r="D17" s="334"/>
      <c r="E17" s="47" t="s">
        <v>72</v>
      </c>
      <c r="F17" s="42" t="s">
        <v>14</v>
      </c>
      <c r="G17" s="188" t="s">
        <v>283</v>
      </c>
      <c r="H17" s="47" t="s">
        <v>16</v>
      </c>
      <c r="I17" s="42" t="s">
        <v>37</v>
      </c>
      <c r="J17" s="153" t="s">
        <v>284</v>
      </c>
      <c r="K17" s="24">
        <v>12122000</v>
      </c>
      <c r="L17" s="24" t="e">
        <f>+J17+K17</f>
        <v>#VALUE!</v>
      </c>
    </row>
    <row r="18" spans="1:12" ht="31.5">
      <c r="A18" s="38" t="s">
        <v>77</v>
      </c>
      <c r="B18" s="20" t="s">
        <v>288</v>
      </c>
      <c r="C18" s="21">
        <f>12088000+10408000+7859000+3932000+42190000</f>
        <v>76477000</v>
      </c>
      <c r="D18" s="334"/>
      <c r="E18" s="47" t="s">
        <v>13</v>
      </c>
      <c r="F18" s="47"/>
      <c r="G18" s="188" t="s">
        <v>283</v>
      </c>
      <c r="H18" s="47" t="s">
        <v>16</v>
      </c>
      <c r="I18" s="42" t="s">
        <v>71</v>
      </c>
      <c r="J18" s="30"/>
      <c r="K18" s="24"/>
      <c r="L18" s="24"/>
    </row>
    <row r="19" spans="1:12">
      <c r="A19" s="38" t="s">
        <v>77</v>
      </c>
      <c r="B19" s="20" t="s">
        <v>70</v>
      </c>
      <c r="C19" s="23">
        <v>4541000</v>
      </c>
      <c r="D19" s="335"/>
      <c r="E19" s="47" t="s">
        <v>13</v>
      </c>
      <c r="F19" s="47"/>
      <c r="G19" s="188" t="s">
        <v>283</v>
      </c>
      <c r="H19" s="47" t="s">
        <v>16</v>
      </c>
      <c r="I19" s="42" t="s">
        <v>46</v>
      </c>
      <c r="J19" s="29"/>
    </row>
    <row r="20" spans="1:12">
      <c r="A20" s="10"/>
      <c r="B20" s="26" t="s">
        <v>64</v>
      </c>
      <c r="C20" s="28">
        <f>ROUND((C5+C9),-3)</f>
        <v>2795164000</v>
      </c>
      <c r="D20" s="43"/>
      <c r="E20" s="43"/>
      <c r="F20" s="43"/>
      <c r="G20" s="43"/>
      <c r="H20" s="43"/>
      <c r="I20" s="43"/>
      <c r="J20" s="29"/>
    </row>
    <row r="27" spans="1:12">
      <c r="C27" s="41"/>
      <c r="D27" s="100"/>
      <c r="E27" s="100"/>
    </row>
    <row r="28" spans="1:12">
      <c r="C28" s="99"/>
      <c r="D28" s="100"/>
      <c r="E28" s="115"/>
    </row>
    <row r="51" spans="1:11" ht="61.5" customHeight="1"/>
    <row r="52" spans="1:11" ht="95.25" customHeight="1"/>
    <row r="53" spans="1:11" ht="25.5" customHeight="1"/>
    <row r="54" spans="1:11" ht="0.75" hidden="1" customHeight="1"/>
    <row r="55" spans="1:11" ht="32.25" hidden="1" customHeight="1"/>
    <row r="56" spans="1:11" ht="23.25" customHeight="1">
      <c r="A56" s="330" t="s">
        <v>27</v>
      </c>
      <c r="B56" s="330"/>
      <c r="C56" s="330"/>
      <c r="D56" s="330"/>
      <c r="E56" s="330"/>
      <c r="F56" s="330"/>
      <c r="G56" s="330"/>
      <c r="H56" s="330"/>
      <c r="I56" s="330"/>
    </row>
    <row r="57" spans="1:11" ht="16.5">
      <c r="A57" s="331" t="s">
        <v>285</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139433000</v>
      </c>
      <c r="D59" s="10"/>
      <c r="E59" s="43"/>
      <c r="F59" s="43"/>
      <c r="G59" s="43"/>
      <c r="H59" s="43"/>
      <c r="I59" s="43"/>
      <c r="J59" s="29"/>
    </row>
    <row r="60" spans="1:11" ht="47.25" customHeight="1">
      <c r="A60" s="37" t="s">
        <v>77</v>
      </c>
      <c r="B60" s="31" t="s">
        <v>213</v>
      </c>
      <c r="C60" s="21">
        <f>30987000+103779000</f>
        <v>134766000</v>
      </c>
      <c r="D60" s="339" t="s">
        <v>286</v>
      </c>
      <c r="E60" s="44" t="s">
        <v>13</v>
      </c>
      <c r="F60" s="191"/>
      <c r="G60" s="45"/>
      <c r="H60" s="44" t="s">
        <v>16</v>
      </c>
      <c r="I60" s="45" t="s">
        <v>66</v>
      </c>
      <c r="J60" s="32"/>
    </row>
    <row r="61" spans="1:11" ht="31.5">
      <c r="A61" s="37" t="s">
        <v>77</v>
      </c>
      <c r="B61" s="31" t="s">
        <v>80</v>
      </c>
      <c r="C61" s="21">
        <f>2366000+2301000</f>
        <v>4667000</v>
      </c>
      <c r="D61" s="339"/>
      <c r="E61" s="44" t="s">
        <v>13</v>
      </c>
      <c r="F61" s="192"/>
      <c r="G61" s="192"/>
      <c r="H61" s="44" t="s">
        <v>16</v>
      </c>
      <c r="I61" s="45" t="s">
        <v>17</v>
      </c>
      <c r="J61" s="193"/>
      <c r="K61" s="27"/>
    </row>
    <row r="62" spans="1:11" ht="15.75" hidden="1" customHeight="1">
      <c r="A62" s="187" t="s">
        <v>77</v>
      </c>
      <c r="B62" s="169" t="s">
        <v>61</v>
      </c>
      <c r="C62" s="182">
        <v>0</v>
      </c>
      <c r="D62" s="339"/>
      <c r="E62" s="169"/>
      <c r="F62" s="169"/>
      <c r="G62" s="169"/>
      <c r="H62" s="169"/>
      <c r="I62" s="169"/>
      <c r="J62" s="170"/>
      <c r="K62" s="27"/>
    </row>
    <row r="63" spans="1:11">
      <c r="A63" s="10" t="s">
        <v>60</v>
      </c>
      <c r="B63" s="26" t="s">
        <v>76</v>
      </c>
      <c r="C63" s="28">
        <f>+C64+C68</f>
        <v>2655731220</v>
      </c>
      <c r="D63" s="43"/>
      <c r="E63" s="43"/>
      <c r="F63" s="43"/>
      <c r="G63" s="43"/>
      <c r="H63" s="43"/>
      <c r="I63" s="43"/>
      <c r="J63" s="29"/>
    </row>
    <row r="64" spans="1:11" ht="14.25" customHeight="1">
      <c r="A64" s="10" t="s">
        <v>78</v>
      </c>
      <c r="B64" s="26" t="s">
        <v>58</v>
      </c>
      <c r="C64" s="28">
        <f>SUM(C65:C67)</f>
        <v>81357220</v>
      </c>
      <c r="D64" s="43"/>
      <c r="E64" s="43"/>
      <c r="F64" s="43"/>
      <c r="G64" s="43"/>
      <c r="H64" s="43"/>
      <c r="I64" s="43"/>
      <c r="J64" s="29"/>
    </row>
    <row r="65" spans="1:11" ht="3" hidden="1" customHeight="1">
      <c r="A65" s="101" t="s">
        <v>77</v>
      </c>
      <c r="B65" s="102" t="s">
        <v>142</v>
      </c>
      <c r="C65" s="103">
        <v>0</v>
      </c>
      <c r="D65" s="333" t="s">
        <v>286</v>
      </c>
      <c r="E65" s="102"/>
      <c r="F65" s="102"/>
      <c r="G65" s="102"/>
      <c r="H65" s="102"/>
      <c r="I65" s="102"/>
      <c r="J65" s="329"/>
      <c r="K65" s="27"/>
    </row>
    <row r="66" spans="1:11" ht="31.5" customHeight="1">
      <c r="A66" s="37" t="s">
        <v>77</v>
      </c>
      <c r="B66" s="31" t="s">
        <v>158</v>
      </c>
      <c r="C66" s="21">
        <v>54803220</v>
      </c>
      <c r="D66" s="334"/>
      <c r="E66" s="192"/>
      <c r="F66" s="192"/>
      <c r="G66" s="192"/>
      <c r="H66" s="192"/>
      <c r="I66" s="192"/>
      <c r="J66" s="329"/>
      <c r="K66" s="27"/>
    </row>
    <row r="67" spans="1:11" ht="31.5" customHeight="1">
      <c r="A67" s="37" t="s">
        <v>77</v>
      </c>
      <c r="B67" s="31" t="s">
        <v>63</v>
      </c>
      <c r="C67" s="21">
        <v>26554000</v>
      </c>
      <c r="D67" s="335"/>
      <c r="E67" s="192"/>
      <c r="F67" s="192"/>
      <c r="G67" s="192"/>
      <c r="H67" s="192"/>
      <c r="I67" s="192"/>
      <c r="J67" s="329"/>
    </row>
    <row r="68" spans="1:11" ht="31.5" customHeight="1">
      <c r="A68" s="10" t="s">
        <v>81</v>
      </c>
      <c r="B68" s="26" t="s">
        <v>59</v>
      </c>
      <c r="C68" s="28">
        <f>ROUND(SUM(C69:C73),-3)</f>
        <v>2574374000</v>
      </c>
      <c r="D68" s="43"/>
      <c r="E68" s="43"/>
      <c r="F68" s="43"/>
      <c r="G68" s="43"/>
      <c r="H68" s="43"/>
      <c r="I68" s="43"/>
      <c r="J68" s="29"/>
    </row>
    <row r="69" spans="1:11" ht="31.5">
      <c r="A69" s="38" t="s">
        <v>77</v>
      </c>
      <c r="B69" s="20" t="s">
        <v>40</v>
      </c>
      <c r="C69" s="21">
        <f>2171000</f>
        <v>2171000</v>
      </c>
      <c r="D69" s="333" t="s">
        <v>286</v>
      </c>
      <c r="E69" s="47" t="s">
        <v>13</v>
      </c>
      <c r="F69" s="42"/>
      <c r="G69" s="188" t="s">
        <v>273</v>
      </c>
      <c r="H69" s="47" t="s">
        <v>16</v>
      </c>
      <c r="I69" s="42" t="s">
        <v>45</v>
      </c>
      <c r="J69" s="29"/>
      <c r="K69" s="24"/>
    </row>
    <row r="70" spans="1:11" ht="22.5" customHeight="1">
      <c r="A70" s="195" t="s">
        <v>77</v>
      </c>
      <c r="B70" s="46" t="s">
        <v>67</v>
      </c>
      <c r="C70" s="21">
        <v>31865000</v>
      </c>
      <c r="D70" s="334"/>
      <c r="E70" s="47" t="s">
        <v>13</v>
      </c>
      <c r="F70" s="47"/>
      <c r="G70" s="188" t="s">
        <v>273</v>
      </c>
      <c r="H70" s="47" t="s">
        <v>16</v>
      </c>
      <c r="I70" s="42" t="s">
        <v>46</v>
      </c>
      <c r="J70" s="176"/>
      <c r="K70" s="24">
        <v>12122000</v>
      </c>
    </row>
    <row r="71" spans="1:11" ht="45">
      <c r="A71" s="38" t="s">
        <v>77</v>
      </c>
      <c r="B71" s="20" t="s">
        <v>287</v>
      </c>
      <c r="C71" s="21">
        <f>2387689000+71631000</f>
        <v>2459320000</v>
      </c>
      <c r="D71" s="334"/>
      <c r="E71" s="47" t="s">
        <v>72</v>
      </c>
      <c r="F71" s="42" t="s">
        <v>14</v>
      </c>
      <c r="G71" s="188" t="s">
        <v>283</v>
      </c>
      <c r="H71" s="47" t="s">
        <v>16</v>
      </c>
      <c r="I71" s="42" t="s">
        <v>37</v>
      </c>
      <c r="J71" s="153" t="s">
        <v>284</v>
      </c>
      <c r="K71" s="24"/>
    </row>
    <row r="72" spans="1:11" ht="31.5">
      <c r="A72" s="38" t="s">
        <v>77</v>
      </c>
      <c r="B72" s="20" t="s">
        <v>288</v>
      </c>
      <c r="C72" s="21">
        <f>12088000+10408000+7859000+3932000+42190000</f>
        <v>76477000</v>
      </c>
      <c r="D72" s="334"/>
      <c r="E72" s="47" t="s">
        <v>13</v>
      </c>
      <c r="F72" s="47"/>
      <c r="G72" s="188" t="s">
        <v>283</v>
      </c>
      <c r="H72" s="47" t="s">
        <v>16</v>
      </c>
      <c r="I72" s="42" t="s">
        <v>71</v>
      </c>
      <c r="J72" s="30"/>
    </row>
    <row r="73" spans="1:11" ht="15.75" customHeight="1">
      <c r="A73" s="38" t="s">
        <v>77</v>
      </c>
      <c r="B73" s="20" t="s">
        <v>70</v>
      </c>
      <c r="C73" s="23">
        <v>4541000</v>
      </c>
      <c r="D73" s="335"/>
      <c r="E73" s="47" t="s">
        <v>13</v>
      </c>
      <c r="F73" s="47"/>
      <c r="G73" s="188" t="s">
        <v>283</v>
      </c>
      <c r="H73" s="47" t="s">
        <v>16</v>
      </c>
      <c r="I73" s="42" t="s">
        <v>46</v>
      </c>
      <c r="J73" s="29"/>
    </row>
    <row r="74" spans="1:11">
      <c r="A74" s="10"/>
      <c r="B74" s="26" t="s">
        <v>64</v>
      </c>
      <c r="C74" s="28">
        <f>ROUND((C59+C63),-3)</f>
        <v>2795164000</v>
      </c>
      <c r="D74" s="43"/>
      <c r="E74" s="43"/>
      <c r="F74" s="43"/>
      <c r="G74" s="43"/>
      <c r="H74" s="43"/>
      <c r="I74" s="43"/>
      <c r="J74" s="29"/>
    </row>
    <row r="89" spans="3:3">
      <c r="C89" s="1">
        <v>160</v>
      </c>
    </row>
  </sheetData>
  <mergeCells count="13">
    <mergeCell ref="A1:I1"/>
    <mergeCell ref="A2:I2"/>
    <mergeCell ref="H3:I3"/>
    <mergeCell ref="D6:D8"/>
    <mergeCell ref="D69:D73"/>
    <mergeCell ref="A57:I57"/>
    <mergeCell ref="D60:D62"/>
    <mergeCell ref="D65:D67"/>
    <mergeCell ref="J65:J67"/>
    <mergeCell ref="D11:D13"/>
    <mergeCell ref="J11:J13"/>
    <mergeCell ref="D15:D19"/>
    <mergeCell ref="A56:I56"/>
  </mergeCells>
  <phoneticPr fontId="4" type="noConversion"/>
  <pageMargins left="0.17" right="0.17" top="0.24" bottom="0.17"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257</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31926000</v>
      </c>
      <c r="D5" s="10"/>
      <c r="E5" s="43"/>
      <c r="F5" s="43"/>
      <c r="G5" s="43"/>
      <c r="H5" s="43"/>
      <c r="I5" s="43"/>
      <c r="J5" s="29"/>
    </row>
    <row r="6" spans="1:12" s="33" customFormat="1" ht="31.5">
      <c r="A6" s="37" t="s">
        <v>77</v>
      </c>
      <c r="B6" s="31" t="s">
        <v>213</v>
      </c>
      <c r="C6" s="21">
        <f>5000000+22926000</f>
        <v>27926000</v>
      </c>
      <c r="D6" s="339" t="s">
        <v>35</v>
      </c>
      <c r="E6" s="44" t="s">
        <v>13</v>
      </c>
      <c r="F6" s="43"/>
      <c r="G6" s="45"/>
      <c r="H6" s="44" t="s">
        <v>16</v>
      </c>
      <c r="I6" s="45" t="s">
        <v>66</v>
      </c>
      <c r="J6" s="32"/>
    </row>
    <row r="7" spans="1:12" s="27" customFormat="1">
      <c r="A7" s="37" t="s">
        <v>77</v>
      </c>
      <c r="B7" s="20" t="s">
        <v>80</v>
      </c>
      <c r="C7" s="21">
        <v>4000000</v>
      </c>
      <c r="D7" s="339"/>
      <c r="E7" s="44" t="s">
        <v>13</v>
      </c>
      <c r="F7" s="46"/>
      <c r="G7" s="46"/>
      <c r="H7" s="44" t="s">
        <v>16</v>
      </c>
      <c r="I7" s="45" t="s">
        <v>17</v>
      </c>
      <c r="J7" s="10"/>
    </row>
    <row r="8" spans="1:12" s="171" customFormat="1" ht="5.25" hidden="1">
      <c r="A8" s="101" t="s">
        <v>77</v>
      </c>
      <c r="B8" s="169" t="s">
        <v>61</v>
      </c>
      <c r="C8" s="103">
        <v>0</v>
      </c>
      <c r="D8" s="339"/>
      <c r="E8" s="169"/>
      <c r="F8" s="169"/>
      <c r="G8" s="169"/>
      <c r="H8" s="169"/>
      <c r="I8" s="169"/>
      <c r="J8" s="170"/>
    </row>
    <row r="9" spans="1:12">
      <c r="A9" s="10" t="s">
        <v>60</v>
      </c>
      <c r="B9" s="26" t="s">
        <v>76</v>
      </c>
      <c r="C9" s="28">
        <f>+C10+C14</f>
        <v>968074000</v>
      </c>
      <c r="D9" s="43"/>
      <c r="E9" s="43"/>
      <c r="F9" s="43"/>
      <c r="G9" s="43"/>
      <c r="H9" s="43"/>
      <c r="I9" s="43"/>
      <c r="J9" s="29"/>
    </row>
    <row r="10" spans="1:12" ht="31.5">
      <c r="A10" s="10" t="s">
        <v>78</v>
      </c>
      <c r="B10" s="26" t="s">
        <v>58</v>
      </c>
      <c r="C10" s="28">
        <f>SUM(C11:C13)</f>
        <v>61124000</v>
      </c>
      <c r="D10" s="43"/>
      <c r="E10" s="43"/>
      <c r="F10" s="43"/>
      <c r="G10" s="43"/>
      <c r="H10" s="43"/>
      <c r="I10" s="43"/>
      <c r="J10" s="29"/>
    </row>
    <row r="11" spans="1:12" s="27" customFormat="1" ht="31.5" customHeight="1">
      <c r="A11" s="38" t="s">
        <v>77</v>
      </c>
      <c r="B11" s="20" t="s">
        <v>142</v>
      </c>
      <c r="C11" s="21">
        <v>27761000</v>
      </c>
      <c r="D11" s="333" t="s">
        <v>35</v>
      </c>
      <c r="E11" s="46"/>
      <c r="F11" s="46"/>
      <c r="G11" s="46"/>
      <c r="H11" s="46"/>
      <c r="I11" s="46"/>
      <c r="J11" s="329"/>
    </row>
    <row r="12" spans="1:12" s="27" customFormat="1" ht="31.5" customHeight="1">
      <c r="A12" s="38" t="s">
        <v>77</v>
      </c>
      <c r="B12" s="20" t="s">
        <v>158</v>
      </c>
      <c r="C12" s="21">
        <v>23863000</v>
      </c>
      <c r="D12" s="334"/>
      <c r="E12" s="46"/>
      <c r="F12" s="46"/>
      <c r="G12" s="46"/>
      <c r="H12" s="46"/>
      <c r="I12" s="46"/>
      <c r="J12" s="329"/>
    </row>
    <row r="13" spans="1:12" s="27" customFormat="1" ht="31.5" customHeight="1">
      <c r="A13" s="38" t="s">
        <v>77</v>
      </c>
      <c r="B13" s="20" t="s">
        <v>63</v>
      </c>
      <c r="C13" s="21">
        <v>9500000</v>
      </c>
      <c r="D13" s="335"/>
      <c r="E13" s="46"/>
      <c r="F13" s="46"/>
      <c r="G13" s="46"/>
      <c r="H13" s="46"/>
      <c r="I13" s="46"/>
      <c r="J13" s="329"/>
    </row>
    <row r="14" spans="1:12">
      <c r="A14" s="10" t="s">
        <v>81</v>
      </c>
      <c r="B14" s="26" t="s">
        <v>59</v>
      </c>
      <c r="C14" s="28">
        <f>ROUND(SUM(C15:C19),-3)</f>
        <v>906950000</v>
      </c>
      <c r="D14" s="43"/>
      <c r="E14" s="43"/>
      <c r="F14" s="43"/>
      <c r="G14" s="43"/>
      <c r="H14" s="43"/>
      <c r="I14" s="43"/>
      <c r="J14" s="29"/>
    </row>
    <row r="15" spans="1:12" s="109" customFormat="1" ht="5.25" hidden="1">
      <c r="A15" s="101" t="s">
        <v>77</v>
      </c>
      <c r="B15" s="102" t="s">
        <v>40</v>
      </c>
      <c r="C15" s="103">
        <v>0</v>
      </c>
      <c r="D15" s="333" t="s">
        <v>35</v>
      </c>
      <c r="E15" s="104" t="s">
        <v>13</v>
      </c>
      <c r="F15" s="105"/>
      <c r="G15" s="106" t="s">
        <v>56</v>
      </c>
      <c r="H15" s="104" t="s">
        <v>16</v>
      </c>
      <c r="I15" s="106" t="s">
        <v>17</v>
      </c>
      <c r="J15" s="117"/>
    </row>
    <row r="16" spans="1:12" s="109" customFormat="1" ht="5.25" hidden="1">
      <c r="A16" s="101" t="s">
        <v>77</v>
      </c>
      <c r="B16" s="102" t="s">
        <v>67</v>
      </c>
      <c r="C16" s="103">
        <v>0</v>
      </c>
      <c r="D16" s="334"/>
      <c r="E16" s="104" t="s">
        <v>13</v>
      </c>
      <c r="F16" s="105"/>
      <c r="G16" s="106" t="s">
        <v>56</v>
      </c>
      <c r="H16" s="104" t="s">
        <v>16</v>
      </c>
      <c r="I16" s="106" t="s">
        <v>46</v>
      </c>
      <c r="J16" s="107"/>
      <c r="K16" s="108"/>
      <c r="L16" s="108"/>
    </row>
    <row r="17" spans="1:12" s="33" customFormat="1" ht="45">
      <c r="A17" s="37" t="s">
        <v>77</v>
      </c>
      <c r="B17" s="31" t="s">
        <v>258</v>
      </c>
      <c r="C17" s="21">
        <v>875895000</v>
      </c>
      <c r="D17" s="334"/>
      <c r="E17" s="44" t="s">
        <v>72</v>
      </c>
      <c r="F17" s="42" t="s">
        <v>14</v>
      </c>
      <c r="G17" s="45" t="s">
        <v>56</v>
      </c>
      <c r="H17" s="44" t="s">
        <v>16</v>
      </c>
      <c r="I17" s="116" t="s">
        <v>225</v>
      </c>
      <c r="J17" s="36" t="s">
        <v>216</v>
      </c>
      <c r="K17" s="35">
        <v>12122000</v>
      </c>
      <c r="L17" s="35" t="e">
        <f>+J17+K17</f>
        <v>#VALUE!</v>
      </c>
    </row>
    <row r="18" spans="1:12" ht="31.5">
      <c r="A18" s="37" t="s">
        <v>77</v>
      </c>
      <c r="B18" s="20" t="s">
        <v>259</v>
      </c>
      <c r="C18" s="23">
        <v>28055000</v>
      </c>
      <c r="D18" s="334"/>
      <c r="E18" s="47" t="s">
        <v>13</v>
      </c>
      <c r="F18" s="47"/>
      <c r="G18" s="42" t="s">
        <v>56</v>
      </c>
      <c r="H18" s="47" t="s">
        <v>16</v>
      </c>
      <c r="I18" s="42" t="s">
        <v>71</v>
      </c>
      <c r="J18" s="30"/>
      <c r="K18" s="24"/>
      <c r="L18" s="24"/>
    </row>
    <row r="19" spans="1:12">
      <c r="A19" s="37" t="s">
        <v>77</v>
      </c>
      <c r="B19" s="20" t="s">
        <v>34</v>
      </c>
      <c r="C19" s="23">
        <v>3000000</v>
      </c>
      <c r="D19" s="335"/>
      <c r="E19" s="47" t="s">
        <v>13</v>
      </c>
      <c r="F19" s="47"/>
      <c r="G19" s="42" t="s">
        <v>56</v>
      </c>
      <c r="H19" s="47" t="s">
        <v>16</v>
      </c>
      <c r="I19" s="42" t="s">
        <v>46</v>
      </c>
      <c r="J19" s="29"/>
    </row>
    <row r="20" spans="1:12">
      <c r="A20" s="10"/>
      <c r="B20" s="26" t="s">
        <v>64</v>
      </c>
      <c r="C20" s="28">
        <f>ROUND((C5+C9),-3)</f>
        <v>1000000000</v>
      </c>
      <c r="D20" s="43"/>
      <c r="E20" s="43"/>
      <c r="F20" s="43"/>
      <c r="G20" s="43"/>
      <c r="H20" s="43"/>
      <c r="I20" s="43"/>
      <c r="J20" s="29"/>
    </row>
    <row r="27" spans="1:12">
      <c r="C27" s="41">
        <f>+C20+421000+407000</f>
        <v>1000828000</v>
      </c>
      <c r="D27" s="100">
        <f>+C20-C12</f>
        <v>976137000</v>
      </c>
      <c r="E27" s="100">
        <f>D27*0.9</f>
        <v>878523300</v>
      </c>
    </row>
    <row r="28" spans="1:12">
      <c r="C28" s="99"/>
      <c r="D28" s="100"/>
      <c r="E28" s="115"/>
    </row>
    <row r="52" spans="1:11" ht="47.25" customHeight="1"/>
    <row r="53" spans="1:11" ht="50.2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226</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60475674</v>
      </c>
      <c r="D59" s="10"/>
      <c r="E59" s="43"/>
      <c r="F59" s="43"/>
      <c r="G59" s="43"/>
      <c r="H59" s="43"/>
      <c r="I59" s="43"/>
      <c r="J59" s="29"/>
    </row>
    <row r="60" spans="1:11" ht="47.25" customHeight="1">
      <c r="A60" s="37" t="s">
        <v>77</v>
      </c>
      <c r="B60" s="31" t="s">
        <v>213</v>
      </c>
      <c r="C60" s="21">
        <f>15167674+26848000+14194000</f>
        <v>56209674</v>
      </c>
      <c r="D60" s="339" t="s">
        <v>35</v>
      </c>
      <c r="E60" s="44" t="s">
        <v>13</v>
      </c>
      <c r="F60" s="43"/>
      <c r="G60" s="45"/>
      <c r="H60" s="44" t="s">
        <v>16</v>
      </c>
      <c r="I60" s="45" t="s">
        <v>66</v>
      </c>
      <c r="J60" s="32"/>
      <c r="K60" s="33"/>
    </row>
    <row r="61" spans="1:11" ht="31.5">
      <c r="A61" s="37" t="s">
        <v>77</v>
      </c>
      <c r="B61" s="20" t="s">
        <v>80</v>
      </c>
      <c r="C61" s="21">
        <v>4000000</v>
      </c>
      <c r="D61" s="339"/>
      <c r="E61" s="44" t="s">
        <v>13</v>
      </c>
      <c r="F61" s="46"/>
      <c r="G61" s="46"/>
      <c r="H61" s="44" t="s">
        <v>16</v>
      </c>
      <c r="I61" s="45" t="s">
        <v>17</v>
      </c>
      <c r="J61" s="10"/>
      <c r="K61" s="27"/>
    </row>
    <row r="62" spans="1:11">
      <c r="A62" s="37" t="s">
        <v>77</v>
      </c>
      <c r="B62" s="20" t="s">
        <v>61</v>
      </c>
      <c r="C62" s="21">
        <v>266000</v>
      </c>
      <c r="D62" s="339"/>
      <c r="E62" s="46"/>
      <c r="F62" s="46"/>
      <c r="G62" s="46"/>
      <c r="H62" s="46"/>
      <c r="I62" s="46"/>
      <c r="J62" s="10"/>
      <c r="K62" s="27"/>
    </row>
    <row r="63" spans="1:11">
      <c r="A63" s="10" t="s">
        <v>60</v>
      </c>
      <c r="B63" s="26" t="s">
        <v>76</v>
      </c>
      <c r="C63" s="28">
        <f>+C64+C68</f>
        <v>1330828000</v>
      </c>
      <c r="D63" s="43"/>
      <c r="E63" s="43"/>
      <c r="F63" s="43"/>
      <c r="G63" s="43"/>
      <c r="H63" s="43"/>
      <c r="I63" s="43"/>
      <c r="J63" s="29"/>
    </row>
    <row r="64" spans="1:11" ht="15.75" customHeight="1">
      <c r="A64" s="10" t="s">
        <v>78</v>
      </c>
      <c r="B64" s="26" t="s">
        <v>58</v>
      </c>
      <c r="C64" s="28">
        <f>SUM(C65:C67)</f>
        <v>75222000</v>
      </c>
      <c r="D64" s="43"/>
      <c r="E64" s="43"/>
      <c r="F64" s="43"/>
      <c r="G64" s="43"/>
      <c r="H64" s="43"/>
      <c r="I64" s="43"/>
      <c r="J64" s="29"/>
    </row>
    <row r="65" spans="1:11" ht="31.5" customHeight="1">
      <c r="A65" s="38" t="s">
        <v>77</v>
      </c>
      <c r="B65" s="20" t="s">
        <v>79</v>
      </c>
      <c r="C65" s="21">
        <v>2000000</v>
      </c>
      <c r="D65" s="333" t="s">
        <v>35</v>
      </c>
      <c r="E65" s="46"/>
      <c r="F65" s="46"/>
      <c r="G65" s="46"/>
      <c r="H65" s="46"/>
      <c r="I65" s="46"/>
      <c r="J65" s="329"/>
      <c r="K65" s="27"/>
    </row>
    <row r="66" spans="1:11" ht="31.5" customHeight="1">
      <c r="A66" s="38" t="s">
        <v>77</v>
      </c>
      <c r="B66" s="20" t="s">
        <v>158</v>
      </c>
      <c r="C66" s="21">
        <v>60017000</v>
      </c>
      <c r="D66" s="334"/>
      <c r="E66" s="46"/>
      <c r="F66" s="46"/>
      <c r="G66" s="46"/>
      <c r="H66" s="46"/>
      <c r="I66" s="46"/>
      <c r="J66" s="329"/>
      <c r="K66" s="27"/>
    </row>
    <row r="67" spans="1:11" ht="31.5" customHeight="1">
      <c r="A67" s="38" t="s">
        <v>77</v>
      </c>
      <c r="B67" s="20" t="s">
        <v>63</v>
      </c>
      <c r="C67" s="21">
        <v>13205000</v>
      </c>
      <c r="D67" s="335"/>
      <c r="E67" s="46"/>
      <c r="F67" s="46"/>
      <c r="G67" s="46"/>
      <c r="H67" s="46"/>
      <c r="I67" s="46"/>
      <c r="J67" s="329"/>
    </row>
    <row r="68" spans="1:11" ht="31.5" customHeight="1">
      <c r="A68" s="10" t="s">
        <v>81</v>
      </c>
      <c r="B68" s="26" t="s">
        <v>59</v>
      </c>
      <c r="C68" s="28">
        <f>ROUND(SUM(C69:C73),-3)</f>
        <v>1255606000</v>
      </c>
      <c r="D68" s="43"/>
      <c r="E68" s="43"/>
      <c r="F68" s="43"/>
      <c r="G68" s="43"/>
      <c r="H68" s="43"/>
      <c r="I68" s="43"/>
      <c r="J68" s="29"/>
      <c r="K68" s="33"/>
    </row>
    <row r="69" spans="1:11" ht="31.5" customHeight="1">
      <c r="A69" s="37" t="s">
        <v>77</v>
      </c>
      <c r="B69" s="31" t="s">
        <v>40</v>
      </c>
      <c r="C69" s="21">
        <v>4192000</v>
      </c>
      <c r="D69" s="333" t="s">
        <v>35</v>
      </c>
      <c r="E69" s="44" t="s">
        <v>13</v>
      </c>
      <c r="F69" s="47"/>
      <c r="G69" s="45" t="s">
        <v>56</v>
      </c>
      <c r="H69" s="44" t="s">
        <v>16</v>
      </c>
      <c r="I69" s="45" t="s">
        <v>17</v>
      </c>
      <c r="J69" s="32"/>
      <c r="K69" s="35"/>
    </row>
    <row r="70" spans="1:11">
      <c r="A70" s="37" t="s">
        <v>77</v>
      </c>
      <c r="B70" s="31" t="s">
        <v>67</v>
      </c>
      <c r="C70" s="21">
        <v>27761000</v>
      </c>
      <c r="D70" s="334"/>
      <c r="E70" s="44" t="s">
        <v>13</v>
      </c>
      <c r="F70" s="47"/>
      <c r="G70" s="45" t="s">
        <v>56</v>
      </c>
      <c r="H70" s="44" t="s">
        <v>16</v>
      </c>
      <c r="I70" s="45" t="s">
        <v>46</v>
      </c>
      <c r="J70" s="34"/>
      <c r="K70" s="35">
        <v>12122000</v>
      </c>
    </row>
    <row r="71" spans="1:11" ht="45">
      <c r="A71" s="37" t="s">
        <v>77</v>
      </c>
      <c r="B71" s="31" t="s">
        <v>214</v>
      </c>
      <c r="C71" s="21">
        <f>849229000+311850000+34789000</f>
        <v>1195868000</v>
      </c>
      <c r="D71" s="334"/>
      <c r="E71" s="44" t="s">
        <v>72</v>
      </c>
      <c r="F71" s="42" t="s">
        <v>14</v>
      </c>
      <c r="G71" s="45" t="s">
        <v>56</v>
      </c>
      <c r="H71" s="44" t="s">
        <v>16</v>
      </c>
      <c r="I71" s="116" t="s">
        <v>225</v>
      </c>
      <c r="J71" s="36" t="s">
        <v>216</v>
      </c>
      <c r="K71" s="24"/>
    </row>
    <row r="72" spans="1:11" ht="31.5">
      <c r="A72" s="37" t="s">
        <v>77</v>
      </c>
      <c r="B72" s="20" t="s">
        <v>215</v>
      </c>
      <c r="C72" s="23">
        <v>24302000</v>
      </c>
      <c r="D72" s="334"/>
      <c r="E72" s="47" t="s">
        <v>13</v>
      </c>
      <c r="F72" s="47"/>
      <c r="G72" s="42" t="s">
        <v>56</v>
      </c>
      <c r="H72" s="47" t="s">
        <v>16</v>
      </c>
      <c r="I72" s="42" t="s">
        <v>71</v>
      </c>
      <c r="J72" s="30"/>
    </row>
    <row r="73" spans="1:11">
      <c r="A73" s="37" t="s">
        <v>77</v>
      </c>
      <c r="B73" s="20" t="s">
        <v>70</v>
      </c>
      <c r="C73" s="23">
        <v>3483000</v>
      </c>
      <c r="D73" s="335"/>
      <c r="E73" s="47" t="s">
        <v>13</v>
      </c>
      <c r="F73" s="47"/>
      <c r="G73" s="42" t="s">
        <v>56</v>
      </c>
      <c r="H73" s="47" t="s">
        <v>16</v>
      </c>
      <c r="I73" s="42" t="s">
        <v>46</v>
      </c>
      <c r="J73" s="29"/>
    </row>
    <row r="74" spans="1:11">
      <c r="A74" s="10"/>
      <c r="B74" s="26" t="s">
        <v>64</v>
      </c>
      <c r="C74" s="28">
        <f>ROUND((C59+C63),-3)</f>
        <v>1391304000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39" t="s">
        <v>35</v>
      </c>
      <c r="E79" s="44" t="s">
        <v>13</v>
      </c>
      <c r="F79" s="43"/>
      <c r="G79" s="45"/>
      <c r="H79" s="44" t="s">
        <v>16</v>
      </c>
      <c r="I79" s="45" t="s">
        <v>66</v>
      </c>
      <c r="J79" s="32"/>
      <c r="K79" s="33"/>
    </row>
    <row r="80" spans="1:11" ht="31.5">
      <c r="A80" s="37" t="s">
        <v>77</v>
      </c>
      <c r="B80" s="20" t="s">
        <v>80</v>
      </c>
      <c r="C80" s="21">
        <v>5360429</v>
      </c>
      <c r="D80" s="339"/>
      <c r="E80" s="44" t="s">
        <v>13</v>
      </c>
      <c r="F80" s="46"/>
      <c r="G80" s="46"/>
      <c r="H80" s="44" t="s">
        <v>16</v>
      </c>
      <c r="I80" s="45" t="s">
        <v>17</v>
      </c>
      <c r="J80" s="10"/>
      <c r="K80" s="27"/>
    </row>
    <row r="81" spans="1:11">
      <c r="A81" s="37" t="s">
        <v>77</v>
      </c>
      <c r="B81" s="20" t="s">
        <v>61</v>
      </c>
      <c r="C81" s="21">
        <v>300203</v>
      </c>
      <c r="D81" s="339"/>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29" t="s">
        <v>82</v>
      </c>
      <c r="K84" s="27"/>
    </row>
    <row r="85" spans="1:11" ht="31.5" customHeight="1">
      <c r="A85" s="38" t="s">
        <v>77</v>
      </c>
      <c r="B85" s="20" t="s">
        <v>63</v>
      </c>
      <c r="C85" s="21">
        <v>14725000</v>
      </c>
      <c r="D85" s="335"/>
      <c r="E85" s="46"/>
      <c r="F85" s="46"/>
      <c r="G85" s="46"/>
      <c r="H85" s="46"/>
      <c r="I85" s="46"/>
      <c r="J85" s="329"/>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A1:I1"/>
    <mergeCell ref="A2:I2"/>
    <mergeCell ref="H3:I3"/>
    <mergeCell ref="D6:D8"/>
    <mergeCell ref="A57:I57"/>
    <mergeCell ref="D60:D62"/>
    <mergeCell ref="D65:D67"/>
    <mergeCell ref="J65:J67"/>
    <mergeCell ref="D11:D13"/>
    <mergeCell ref="J11:J13"/>
    <mergeCell ref="D15:D19"/>
    <mergeCell ref="A56:I56"/>
    <mergeCell ref="D84:D85"/>
    <mergeCell ref="J84:J85"/>
    <mergeCell ref="D87:D91"/>
    <mergeCell ref="D69:D73"/>
    <mergeCell ref="A75:I75"/>
    <mergeCell ref="A76:I76"/>
    <mergeCell ref="D79:D81"/>
  </mergeCells>
  <phoneticPr fontId="4"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18" sqref="C18"/>
    </sheetView>
  </sheetViews>
  <sheetFormatPr defaultRowHeight="15"/>
  <cols>
    <col min="1" max="1" width="4.6640625" customWidth="1"/>
    <col min="2" max="2" width="35.88671875" customWidth="1"/>
    <col min="3" max="3" width="8.33203125" style="151" customWidth="1"/>
    <col min="4" max="4" width="20.88671875" customWidth="1"/>
    <col min="5" max="5" width="13.6640625" customWidth="1"/>
    <col min="6" max="6" width="19.109375" customWidth="1"/>
  </cols>
  <sheetData>
    <row r="1" spans="1:8" ht="27.75" customHeight="1">
      <c r="A1" s="346" t="s">
        <v>159</v>
      </c>
      <c r="B1" s="346"/>
      <c r="C1" s="346"/>
      <c r="D1" s="346"/>
      <c r="E1" s="346"/>
      <c r="F1" s="122"/>
      <c r="G1" s="122"/>
      <c r="H1" s="122"/>
    </row>
    <row r="2" spans="1:8" ht="18.75">
      <c r="A2" s="347" t="s">
        <v>253</v>
      </c>
      <c r="B2" s="347"/>
      <c r="C2" s="347"/>
      <c r="D2" s="347"/>
      <c r="E2" s="347"/>
      <c r="F2" s="123"/>
      <c r="G2" s="123"/>
      <c r="H2" s="123"/>
    </row>
    <row r="3" spans="1:8" ht="21" customHeight="1">
      <c r="A3" s="348"/>
      <c r="B3" s="348"/>
      <c r="C3" s="348"/>
      <c r="D3" s="348"/>
      <c r="E3" s="348"/>
      <c r="F3" s="124"/>
      <c r="G3" s="124"/>
      <c r="H3" s="124"/>
    </row>
    <row r="4" spans="1:8" ht="9" customHeight="1" thickBot="1"/>
    <row r="5" spans="1:8" s="159" customFormat="1" ht="39.75" customHeight="1">
      <c r="A5" s="155" t="s">
        <v>21</v>
      </c>
      <c r="B5" s="156" t="s">
        <v>89</v>
      </c>
      <c r="C5" s="157" t="s">
        <v>90</v>
      </c>
      <c r="D5" s="156" t="s">
        <v>91</v>
      </c>
      <c r="E5" s="158" t="s">
        <v>92</v>
      </c>
    </row>
    <row r="6" spans="1:8" ht="15.75">
      <c r="A6" s="59">
        <v>1</v>
      </c>
      <c r="B6" s="60" t="s">
        <v>164</v>
      </c>
      <c r="C6" s="61" t="s">
        <v>94</v>
      </c>
      <c r="D6" s="66" t="s">
        <v>236</v>
      </c>
      <c r="E6" s="62">
        <f>SUM(E7:E10)</f>
        <v>875895000</v>
      </c>
    </row>
    <row r="7" spans="1:8" s="160" customFormat="1" ht="15.75">
      <c r="A7" s="161" t="s">
        <v>78</v>
      </c>
      <c r="B7" s="64" t="s">
        <v>233</v>
      </c>
      <c r="C7" s="66" t="s">
        <v>227</v>
      </c>
      <c r="D7" s="66" t="s">
        <v>126</v>
      </c>
      <c r="E7" s="69">
        <v>266945000</v>
      </c>
    </row>
    <row r="8" spans="1:8" s="160" customFormat="1" ht="15.75">
      <c r="A8" s="161" t="s">
        <v>81</v>
      </c>
      <c r="B8" s="64" t="s">
        <v>234</v>
      </c>
      <c r="C8" s="66" t="s">
        <v>228</v>
      </c>
      <c r="D8" s="66" t="s">
        <v>126</v>
      </c>
      <c r="E8" s="69">
        <v>266654000</v>
      </c>
      <c r="F8" s="168">
        <f>+E8+E9+E10</f>
        <v>608950000</v>
      </c>
    </row>
    <row r="9" spans="1:8" s="160" customFormat="1" ht="31.5">
      <c r="A9" s="161" t="s">
        <v>231</v>
      </c>
      <c r="B9" s="162" t="s">
        <v>256</v>
      </c>
      <c r="C9" s="66" t="s">
        <v>229</v>
      </c>
      <c r="D9" s="66" t="s">
        <v>126</v>
      </c>
      <c r="E9" s="69">
        <v>203081000</v>
      </c>
      <c r="F9" s="168">
        <f>+F8+E15+E16+E20+E26</f>
        <v>643875900.88</v>
      </c>
    </row>
    <row r="10" spans="1:8" s="160" customFormat="1" ht="15.75">
      <c r="A10" s="161" t="s">
        <v>232</v>
      </c>
      <c r="B10" s="162" t="s">
        <v>235</v>
      </c>
      <c r="C10" s="66" t="s">
        <v>230</v>
      </c>
      <c r="D10" s="66" t="s">
        <v>126</v>
      </c>
      <c r="E10" s="69">
        <v>139215000</v>
      </c>
    </row>
    <row r="11" spans="1:8" s="186" customFormat="1" ht="15.75">
      <c r="A11" s="183" t="s">
        <v>232</v>
      </c>
      <c r="B11" s="184" t="s">
        <v>235</v>
      </c>
      <c r="C11" s="185" t="s">
        <v>230</v>
      </c>
      <c r="D11" s="185" t="s">
        <v>126</v>
      </c>
      <c r="E11" s="67">
        <v>139215000</v>
      </c>
    </row>
    <row r="12" spans="1:8" s="160" customFormat="1" ht="15.75">
      <c r="A12" s="161"/>
      <c r="B12" s="162"/>
      <c r="C12" s="66"/>
      <c r="D12" s="66"/>
      <c r="E12" s="69"/>
    </row>
    <row r="13" spans="1:8" ht="15.75">
      <c r="A13" s="70">
        <v>2</v>
      </c>
      <c r="B13" s="71" t="s">
        <v>95</v>
      </c>
      <c r="C13" s="72" t="s">
        <v>134</v>
      </c>
      <c r="D13" s="66" t="s">
        <v>126</v>
      </c>
      <c r="E13" s="73">
        <v>27761000</v>
      </c>
    </row>
    <row r="14" spans="1:8" ht="15.75">
      <c r="A14" s="70">
        <v>3</v>
      </c>
      <c r="B14" s="71" t="s">
        <v>97</v>
      </c>
      <c r="C14" s="72" t="s">
        <v>96</v>
      </c>
      <c r="D14" s="72" t="s">
        <v>149</v>
      </c>
      <c r="E14" s="73">
        <f>ROUND(SUM(E15:E21),-3)-E16</f>
        <v>59981099.119999997</v>
      </c>
    </row>
    <row r="15" spans="1:8" ht="15.75">
      <c r="A15" s="163" t="s">
        <v>78</v>
      </c>
      <c r="B15" s="74" t="s">
        <v>254</v>
      </c>
      <c r="C15" s="75" t="s">
        <v>99</v>
      </c>
      <c r="D15" s="66" t="s">
        <v>255</v>
      </c>
      <c r="E15" s="76">
        <v>5000000</v>
      </c>
    </row>
    <row r="16" spans="1:8" ht="15.75">
      <c r="A16" s="163" t="s">
        <v>81</v>
      </c>
      <c r="B16" s="74" t="s">
        <v>237</v>
      </c>
      <c r="C16" s="75" t="s">
        <v>100</v>
      </c>
      <c r="D16" s="66" t="s">
        <v>243</v>
      </c>
      <c r="E16" s="76">
        <f>SUM(E17:E19)</f>
        <v>22925900.880000003</v>
      </c>
    </row>
    <row r="17" spans="1:6" ht="15.75">
      <c r="A17" s="97" t="s">
        <v>77</v>
      </c>
      <c r="B17" s="74" t="s">
        <v>244</v>
      </c>
      <c r="C17" s="165" t="s">
        <v>240</v>
      </c>
      <c r="D17" s="66" t="s">
        <v>251</v>
      </c>
      <c r="E17" s="76">
        <f>E7*5.4%</f>
        <v>14415030.000000002</v>
      </c>
    </row>
    <row r="18" spans="1:6" ht="33.75" customHeight="1">
      <c r="A18" s="97" t="s">
        <v>77</v>
      </c>
      <c r="B18" s="164" t="s">
        <v>245</v>
      </c>
      <c r="C18" s="165" t="s">
        <v>241</v>
      </c>
      <c r="D18" s="66" t="s">
        <v>247</v>
      </c>
      <c r="E18" s="76">
        <f>E8*5.4%*0.36</f>
        <v>5183753.7600000007</v>
      </c>
    </row>
    <row r="19" spans="1:6" ht="33.75" customHeight="1">
      <c r="A19" s="97" t="s">
        <v>77</v>
      </c>
      <c r="B19" s="164" t="s">
        <v>246</v>
      </c>
      <c r="C19" s="165" t="s">
        <v>242</v>
      </c>
      <c r="D19" s="66" t="s">
        <v>248</v>
      </c>
      <c r="E19" s="76">
        <f>(E9+E10)*5.4%*0.18</f>
        <v>3327117.1200000006</v>
      </c>
    </row>
    <row r="20" spans="1:6" ht="15.75">
      <c r="A20" s="163" t="s">
        <v>231</v>
      </c>
      <c r="B20" s="79" t="s">
        <v>238</v>
      </c>
      <c r="C20" s="75" t="s">
        <v>101</v>
      </c>
      <c r="D20" s="66" t="s">
        <v>184</v>
      </c>
      <c r="E20" s="78">
        <v>4000000</v>
      </c>
    </row>
    <row r="21" spans="1:6" ht="15.75">
      <c r="A21" s="163" t="s">
        <v>232</v>
      </c>
      <c r="B21" s="79" t="s">
        <v>239</v>
      </c>
      <c r="C21" s="75" t="s">
        <v>102</v>
      </c>
      <c r="D21" s="66" t="s">
        <v>126</v>
      </c>
      <c r="E21" s="78">
        <v>28055000</v>
      </c>
    </row>
    <row r="22" spans="1:6" ht="15.75">
      <c r="A22" s="84" t="s">
        <v>124</v>
      </c>
      <c r="B22" s="71" t="s">
        <v>106</v>
      </c>
      <c r="C22" s="72" t="s">
        <v>98</v>
      </c>
      <c r="D22" s="72" t="s">
        <v>252</v>
      </c>
      <c r="E22" s="73">
        <f>ROUND(SUM(E23:E26),-3)</f>
        <v>12500000</v>
      </c>
    </row>
    <row r="23" spans="1:6" ht="15.75">
      <c r="A23" s="98" t="s">
        <v>77</v>
      </c>
      <c r="B23" s="86" t="s">
        <v>108</v>
      </c>
      <c r="C23" s="87" t="s">
        <v>109</v>
      </c>
      <c r="D23" s="66" t="s">
        <v>126</v>
      </c>
      <c r="E23" s="78">
        <v>0</v>
      </c>
    </row>
    <row r="24" spans="1:6" ht="15.75">
      <c r="A24" s="98" t="s">
        <v>77</v>
      </c>
      <c r="B24" s="79" t="s">
        <v>133</v>
      </c>
      <c r="C24" s="87" t="s">
        <v>110</v>
      </c>
      <c r="D24" s="66" t="s">
        <v>126</v>
      </c>
      <c r="E24" s="78">
        <v>0</v>
      </c>
    </row>
    <row r="25" spans="1:6" ht="15.75">
      <c r="A25" s="98" t="s">
        <v>77</v>
      </c>
      <c r="B25" s="79" t="s">
        <v>116</v>
      </c>
      <c r="C25" s="87" t="s">
        <v>111</v>
      </c>
      <c r="D25" s="66" t="s">
        <v>249</v>
      </c>
      <c r="E25" s="78">
        <f>9500000</f>
        <v>9500000</v>
      </c>
    </row>
    <row r="26" spans="1:6" ht="15.75">
      <c r="A26" s="98" t="s">
        <v>77</v>
      </c>
      <c r="B26" s="79" t="s">
        <v>118</v>
      </c>
      <c r="C26" s="87" t="s">
        <v>113</v>
      </c>
      <c r="D26" s="66" t="s">
        <v>250</v>
      </c>
      <c r="E26" s="78">
        <v>3000000</v>
      </c>
    </row>
    <row r="27" spans="1:6" ht="15.75">
      <c r="A27" s="70">
        <v>5</v>
      </c>
      <c r="B27" s="71" t="s">
        <v>119</v>
      </c>
      <c r="C27" s="72" t="s">
        <v>107</v>
      </c>
      <c r="D27" s="72" t="s">
        <v>120</v>
      </c>
      <c r="E27" s="73">
        <f>+E28</f>
        <v>23862901</v>
      </c>
    </row>
    <row r="28" spans="1:6" ht="15.75">
      <c r="A28" s="85" t="s">
        <v>121</v>
      </c>
      <c r="B28" s="79" t="s">
        <v>122</v>
      </c>
      <c r="C28" s="77" t="s">
        <v>120</v>
      </c>
      <c r="D28" s="66" t="s">
        <v>250</v>
      </c>
      <c r="E28" s="78">
        <v>23862901</v>
      </c>
    </row>
    <row r="29" spans="1:6" ht="15.75">
      <c r="A29" s="88"/>
      <c r="B29" s="71" t="s">
        <v>125</v>
      </c>
      <c r="C29" s="72" t="s">
        <v>123</v>
      </c>
      <c r="D29" s="72" t="s">
        <v>136</v>
      </c>
      <c r="E29" s="73">
        <f>+E6+E13+E14+E22+E27</f>
        <v>1000000000.12</v>
      </c>
      <c r="F29" s="154">
        <f>+E29-1000000000</f>
        <v>0.12000000476837158</v>
      </c>
    </row>
    <row r="30" spans="1:6" ht="15.75" thickBot="1">
      <c r="A30" s="89" t="s">
        <v>121</v>
      </c>
      <c r="B30" s="90" t="s">
        <v>121</v>
      </c>
      <c r="C30" s="91" t="s">
        <v>121</v>
      </c>
      <c r="D30" s="91" t="s">
        <v>121</v>
      </c>
      <c r="E30" s="92"/>
      <c r="F30" s="154"/>
    </row>
    <row r="31" spans="1:6">
      <c r="A31" s="93"/>
      <c r="B31" s="51"/>
      <c r="C31" s="93"/>
      <c r="D31" s="93"/>
      <c r="E31" s="94"/>
    </row>
    <row r="32" spans="1:6" s="167" customFormat="1" ht="18.75">
      <c r="A32" s="166"/>
      <c r="B32" s="349"/>
      <c r="C32" s="350"/>
      <c r="D32" s="344" t="s">
        <v>148</v>
      </c>
      <c r="E32" s="345"/>
    </row>
    <row r="33" spans="1:7" ht="18.75">
      <c r="A33" s="110"/>
      <c r="B33" s="111"/>
      <c r="C33" s="344"/>
      <c r="D33" s="344"/>
      <c r="E33" s="344"/>
    </row>
    <row r="34" spans="1:7" ht="18.75">
      <c r="A34" s="112"/>
      <c r="B34" s="113"/>
      <c r="C34" s="110"/>
      <c r="D34" s="344"/>
      <c r="E34" s="345"/>
    </row>
    <row r="35" spans="1:7" ht="18.75">
      <c r="A35" s="110"/>
      <c r="B35" s="110"/>
      <c r="C35" s="110"/>
      <c r="D35" s="113"/>
      <c r="E35" s="114"/>
      <c r="F35" s="344"/>
      <c r="G35" s="345"/>
    </row>
    <row r="36" spans="1:7" ht="18">
      <c r="A36" s="110"/>
      <c r="B36" s="110"/>
      <c r="C36" s="110"/>
      <c r="D36" s="113"/>
      <c r="E36" s="114"/>
    </row>
    <row r="37" spans="1:7" ht="18">
      <c r="A37" s="110"/>
      <c r="B37" s="110"/>
      <c r="C37" s="110"/>
      <c r="D37" s="113"/>
      <c r="E37" s="114"/>
    </row>
    <row r="38" spans="1:7" ht="18.75">
      <c r="A38" s="344"/>
      <c r="B38" s="344"/>
      <c r="C38" s="344"/>
      <c r="D38" s="344" t="s">
        <v>147</v>
      </c>
      <c r="E38" s="345"/>
    </row>
  </sheetData>
  <mergeCells count="10">
    <mergeCell ref="D34:E34"/>
    <mergeCell ref="F35:G35"/>
    <mergeCell ref="A38:C38"/>
    <mergeCell ref="D38:E38"/>
    <mergeCell ref="A1:E1"/>
    <mergeCell ref="A2:E2"/>
    <mergeCell ref="A3:E3"/>
    <mergeCell ref="B32:C32"/>
    <mergeCell ref="D32:E32"/>
    <mergeCell ref="C33:E33"/>
  </mergeCells>
  <phoneticPr fontId="4"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IV65536"/>
    </sheetView>
  </sheetViews>
  <sheetFormatPr defaultRowHeight="15"/>
  <cols>
    <col min="1" max="1" width="4.6640625" customWidth="1"/>
    <col min="2" max="2" width="35.88671875" customWidth="1"/>
    <col min="3" max="3" width="8.33203125" style="151" customWidth="1"/>
    <col min="4" max="4" width="20.88671875" customWidth="1"/>
    <col min="5" max="5" width="13.6640625" customWidth="1"/>
    <col min="6" max="6" width="19.109375" customWidth="1"/>
  </cols>
  <sheetData>
    <row r="1" spans="1:8" ht="27.75" customHeight="1">
      <c r="A1" s="346" t="s">
        <v>159</v>
      </c>
      <c r="B1" s="346"/>
      <c r="C1" s="346"/>
      <c r="D1" s="346"/>
      <c r="E1" s="346"/>
      <c r="F1" s="122"/>
      <c r="G1" s="122"/>
      <c r="H1" s="122"/>
    </row>
    <row r="2" spans="1:8" ht="18.75">
      <c r="A2" s="347" t="s">
        <v>253</v>
      </c>
      <c r="B2" s="347"/>
      <c r="C2" s="347"/>
      <c r="D2" s="347"/>
      <c r="E2" s="347"/>
      <c r="F2" s="123"/>
      <c r="G2" s="123"/>
      <c r="H2" s="123"/>
    </row>
    <row r="3" spans="1:8" ht="21" customHeight="1">
      <c r="A3" s="348"/>
      <c r="B3" s="348"/>
      <c r="C3" s="348"/>
      <c r="D3" s="348"/>
      <c r="E3" s="348"/>
      <c r="F3" s="124"/>
      <c r="G3" s="124"/>
      <c r="H3" s="124"/>
    </row>
    <row r="4" spans="1:8" ht="9" customHeight="1" thickBot="1"/>
    <row r="5" spans="1:8" s="159" customFormat="1" ht="39.75" customHeight="1">
      <c r="A5" s="155" t="s">
        <v>21</v>
      </c>
      <c r="B5" s="156" t="s">
        <v>89</v>
      </c>
      <c r="C5" s="157" t="s">
        <v>90</v>
      </c>
      <c r="D5" s="156" t="s">
        <v>91</v>
      </c>
      <c r="E5" s="158" t="s">
        <v>92</v>
      </c>
    </row>
    <row r="6" spans="1:8" ht="15.75">
      <c r="A6" s="59">
        <v>1</v>
      </c>
      <c r="B6" s="60" t="s">
        <v>164</v>
      </c>
      <c r="C6" s="61" t="s">
        <v>94</v>
      </c>
      <c r="D6" s="66" t="s">
        <v>236</v>
      </c>
      <c r="E6" s="62">
        <f>SUM(E7:E10)</f>
        <v>875895000</v>
      </c>
    </row>
    <row r="7" spans="1:8" s="160" customFormat="1" ht="15.75">
      <c r="A7" s="161" t="s">
        <v>78</v>
      </c>
      <c r="B7" s="64" t="s">
        <v>233</v>
      </c>
      <c r="C7" s="66" t="s">
        <v>227</v>
      </c>
      <c r="D7" s="66" t="s">
        <v>126</v>
      </c>
      <c r="E7" s="69">
        <v>266945000</v>
      </c>
    </row>
    <row r="8" spans="1:8" s="160" customFormat="1" ht="15.75">
      <c r="A8" s="161" t="s">
        <v>81</v>
      </c>
      <c r="B8" s="64" t="s">
        <v>234</v>
      </c>
      <c r="C8" s="66" t="s">
        <v>228</v>
      </c>
      <c r="D8" s="66" t="s">
        <v>126</v>
      </c>
      <c r="E8" s="69">
        <v>266654000</v>
      </c>
      <c r="F8" s="168">
        <f>+E8+E9+E10</f>
        <v>608950000</v>
      </c>
    </row>
    <row r="9" spans="1:8" s="160" customFormat="1" ht="31.5">
      <c r="A9" s="161" t="s">
        <v>231</v>
      </c>
      <c r="B9" s="162" t="s">
        <v>256</v>
      </c>
      <c r="C9" s="66" t="s">
        <v>229</v>
      </c>
      <c r="D9" s="66" t="s">
        <v>126</v>
      </c>
      <c r="E9" s="69">
        <v>203081000</v>
      </c>
      <c r="F9" s="168">
        <f>+F8+E15+E16+E20+E26</f>
        <v>643875900.88</v>
      </c>
    </row>
    <row r="10" spans="1:8" s="160" customFormat="1" ht="15.75">
      <c r="A10" s="161" t="s">
        <v>232</v>
      </c>
      <c r="B10" s="162" t="s">
        <v>235</v>
      </c>
      <c r="C10" s="66" t="s">
        <v>230</v>
      </c>
      <c r="D10" s="66" t="s">
        <v>126</v>
      </c>
      <c r="E10" s="69">
        <v>139215000</v>
      </c>
    </row>
    <row r="11" spans="1:8" s="186" customFormat="1" ht="15.75">
      <c r="A11" s="183" t="s">
        <v>232</v>
      </c>
      <c r="B11" s="184" t="s">
        <v>235</v>
      </c>
      <c r="C11" s="185" t="s">
        <v>230</v>
      </c>
      <c r="D11" s="185" t="s">
        <v>126</v>
      </c>
      <c r="E11" s="67">
        <v>139215000</v>
      </c>
    </row>
    <row r="12" spans="1:8" s="160" customFormat="1" ht="15.75">
      <c r="A12" s="161"/>
      <c r="B12" s="162"/>
      <c r="C12" s="66"/>
      <c r="D12" s="66"/>
      <c r="E12" s="69"/>
    </row>
    <row r="13" spans="1:8" ht="15.75">
      <c r="A13" s="70">
        <v>2</v>
      </c>
      <c r="B13" s="71" t="s">
        <v>95</v>
      </c>
      <c r="C13" s="72" t="s">
        <v>134</v>
      </c>
      <c r="D13" s="66" t="s">
        <v>126</v>
      </c>
      <c r="E13" s="73">
        <v>27761000</v>
      </c>
    </row>
    <row r="14" spans="1:8" ht="15.75">
      <c r="A14" s="70">
        <v>3</v>
      </c>
      <c r="B14" s="71" t="s">
        <v>97</v>
      </c>
      <c r="C14" s="72" t="s">
        <v>96</v>
      </c>
      <c r="D14" s="72" t="s">
        <v>149</v>
      </c>
      <c r="E14" s="73">
        <f>ROUND(SUM(E15:E21),-3)-E16</f>
        <v>59981099.119999997</v>
      </c>
    </row>
    <row r="15" spans="1:8" ht="15.75">
      <c r="A15" s="163" t="s">
        <v>78</v>
      </c>
      <c r="B15" s="74" t="s">
        <v>254</v>
      </c>
      <c r="C15" s="75" t="s">
        <v>99</v>
      </c>
      <c r="D15" s="66" t="s">
        <v>255</v>
      </c>
      <c r="E15" s="76">
        <v>5000000</v>
      </c>
    </row>
    <row r="16" spans="1:8" ht="15.75">
      <c r="A16" s="163" t="s">
        <v>81</v>
      </c>
      <c r="B16" s="74" t="s">
        <v>237</v>
      </c>
      <c r="C16" s="75" t="s">
        <v>100</v>
      </c>
      <c r="D16" s="66" t="s">
        <v>243</v>
      </c>
      <c r="E16" s="76">
        <f>SUM(E17:E19)</f>
        <v>22925900.880000003</v>
      </c>
    </row>
    <row r="17" spans="1:6" ht="15.75">
      <c r="A17" s="97" t="s">
        <v>77</v>
      </c>
      <c r="B17" s="74" t="s">
        <v>244</v>
      </c>
      <c r="C17" s="165" t="s">
        <v>240</v>
      </c>
      <c r="D17" s="66" t="s">
        <v>251</v>
      </c>
      <c r="E17" s="76">
        <f>E7*5.4%</f>
        <v>14415030.000000002</v>
      </c>
    </row>
    <row r="18" spans="1:6" ht="33.75" customHeight="1">
      <c r="A18" s="97" t="s">
        <v>77</v>
      </c>
      <c r="B18" s="164" t="s">
        <v>245</v>
      </c>
      <c r="C18" s="165" t="s">
        <v>241</v>
      </c>
      <c r="D18" s="66" t="s">
        <v>247</v>
      </c>
      <c r="E18" s="76">
        <f>E8*5.4%*0.36</f>
        <v>5183753.7600000007</v>
      </c>
    </row>
    <row r="19" spans="1:6" ht="33.75" customHeight="1">
      <c r="A19" s="97" t="s">
        <v>77</v>
      </c>
      <c r="B19" s="164" t="s">
        <v>246</v>
      </c>
      <c r="C19" s="165" t="s">
        <v>242</v>
      </c>
      <c r="D19" s="66" t="s">
        <v>248</v>
      </c>
      <c r="E19" s="76">
        <f>(E9+E10)*5.4%*0.18</f>
        <v>3327117.1200000006</v>
      </c>
    </row>
    <row r="20" spans="1:6" ht="15.75">
      <c r="A20" s="163" t="s">
        <v>231</v>
      </c>
      <c r="B20" s="79" t="s">
        <v>238</v>
      </c>
      <c r="C20" s="75" t="s">
        <v>101</v>
      </c>
      <c r="D20" s="66" t="s">
        <v>184</v>
      </c>
      <c r="E20" s="78">
        <v>4000000</v>
      </c>
    </row>
    <row r="21" spans="1:6" ht="15.75">
      <c r="A21" s="163" t="s">
        <v>232</v>
      </c>
      <c r="B21" s="79" t="s">
        <v>239</v>
      </c>
      <c r="C21" s="75" t="s">
        <v>102</v>
      </c>
      <c r="D21" s="66" t="s">
        <v>126</v>
      </c>
      <c r="E21" s="78">
        <v>28055000</v>
      </c>
    </row>
    <row r="22" spans="1:6" ht="15.75">
      <c r="A22" s="84" t="s">
        <v>124</v>
      </c>
      <c r="B22" s="71" t="s">
        <v>106</v>
      </c>
      <c r="C22" s="72" t="s">
        <v>98</v>
      </c>
      <c r="D22" s="72" t="s">
        <v>252</v>
      </c>
      <c r="E22" s="73">
        <f>ROUND(SUM(E23:E26),-3)</f>
        <v>12500000</v>
      </c>
    </row>
    <row r="23" spans="1:6" ht="15.75">
      <c r="A23" s="98" t="s">
        <v>77</v>
      </c>
      <c r="B23" s="86" t="s">
        <v>108</v>
      </c>
      <c r="C23" s="87" t="s">
        <v>109</v>
      </c>
      <c r="D23" s="66" t="s">
        <v>126</v>
      </c>
      <c r="E23" s="78">
        <v>0</v>
      </c>
    </row>
    <row r="24" spans="1:6" ht="15.75">
      <c r="A24" s="98" t="s">
        <v>77</v>
      </c>
      <c r="B24" s="79" t="s">
        <v>133</v>
      </c>
      <c r="C24" s="87" t="s">
        <v>110</v>
      </c>
      <c r="D24" s="66" t="s">
        <v>126</v>
      </c>
      <c r="E24" s="78">
        <v>0</v>
      </c>
    </row>
    <row r="25" spans="1:6" ht="15.75">
      <c r="A25" s="98" t="s">
        <v>77</v>
      </c>
      <c r="B25" s="79" t="s">
        <v>116</v>
      </c>
      <c r="C25" s="87" t="s">
        <v>111</v>
      </c>
      <c r="D25" s="66" t="s">
        <v>249</v>
      </c>
      <c r="E25" s="78">
        <f>9500000</f>
        <v>9500000</v>
      </c>
    </row>
    <row r="26" spans="1:6" ht="15.75">
      <c r="A26" s="98" t="s">
        <v>77</v>
      </c>
      <c r="B26" s="79" t="s">
        <v>118</v>
      </c>
      <c r="C26" s="87" t="s">
        <v>113</v>
      </c>
      <c r="D26" s="66" t="s">
        <v>250</v>
      </c>
      <c r="E26" s="78">
        <v>3000000</v>
      </c>
    </row>
    <row r="27" spans="1:6" ht="15.75">
      <c r="A27" s="70">
        <v>5</v>
      </c>
      <c r="B27" s="71" t="s">
        <v>119</v>
      </c>
      <c r="C27" s="72" t="s">
        <v>107</v>
      </c>
      <c r="D27" s="72" t="s">
        <v>120</v>
      </c>
      <c r="E27" s="73">
        <f>+E28</f>
        <v>23862901</v>
      </c>
    </row>
    <row r="28" spans="1:6" ht="15.75">
      <c r="A28" s="85" t="s">
        <v>121</v>
      </c>
      <c r="B28" s="79" t="s">
        <v>122</v>
      </c>
      <c r="C28" s="77" t="s">
        <v>120</v>
      </c>
      <c r="D28" s="66" t="s">
        <v>250</v>
      </c>
      <c r="E28" s="78">
        <v>23862901</v>
      </c>
    </row>
    <row r="29" spans="1:6" ht="15.75">
      <c r="A29" s="88"/>
      <c r="B29" s="71" t="s">
        <v>125</v>
      </c>
      <c r="C29" s="72" t="s">
        <v>123</v>
      </c>
      <c r="D29" s="72" t="s">
        <v>136</v>
      </c>
      <c r="E29" s="73">
        <f>+E6+E13+E14+E22+E27</f>
        <v>1000000000.12</v>
      </c>
      <c r="F29" s="154">
        <f>+E29-1000000000</f>
        <v>0.12000000476837158</v>
      </c>
    </row>
    <row r="30" spans="1:6" ht="15.75" thickBot="1">
      <c r="A30" s="89" t="s">
        <v>121</v>
      </c>
      <c r="B30" s="90" t="s">
        <v>121</v>
      </c>
      <c r="C30" s="91" t="s">
        <v>121</v>
      </c>
      <c r="D30" s="91" t="s">
        <v>121</v>
      </c>
      <c r="E30" s="92"/>
      <c r="F30" s="154"/>
    </row>
    <row r="31" spans="1:6">
      <c r="A31" s="93"/>
      <c r="B31" s="51"/>
      <c r="C31" s="93"/>
      <c r="D31" s="93"/>
      <c r="E31" s="94"/>
    </row>
    <row r="32" spans="1:6" s="167" customFormat="1" ht="18.75">
      <c r="A32" s="166"/>
      <c r="B32" s="349"/>
      <c r="C32" s="350"/>
      <c r="D32" s="344" t="s">
        <v>148</v>
      </c>
      <c r="E32" s="345"/>
    </row>
    <row r="33" spans="1:7" ht="18.75">
      <c r="A33" s="110"/>
      <c r="B33" s="111"/>
      <c r="C33" s="344"/>
      <c r="D33" s="344"/>
      <c r="E33" s="344"/>
    </row>
    <row r="34" spans="1:7" ht="18.75">
      <c r="A34" s="112"/>
      <c r="B34" s="113"/>
      <c r="C34" s="110"/>
      <c r="D34" s="344"/>
      <c r="E34" s="345"/>
    </row>
    <row r="35" spans="1:7" ht="18.75">
      <c r="A35" s="110"/>
      <c r="B35" s="110"/>
      <c r="C35" s="110"/>
      <c r="D35" s="113"/>
      <c r="E35" s="114"/>
      <c r="F35" s="344"/>
      <c r="G35" s="345"/>
    </row>
    <row r="36" spans="1:7" ht="18">
      <c r="A36" s="110"/>
      <c r="B36" s="110"/>
      <c r="C36" s="110"/>
      <c r="D36" s="113"/>
      <c r="E36" s="114"/>
    </row>
    <row r="37" spans="1:7" ht="18">
      <c r="A37" s="110"/>
      <c r="B37" s="110"/>
      <c r="C37" s="110"/>
      <c r="D37" s="113"/>
      <c r="E37" s="114"/>
    </row>
    <row r="38" spans="1:7" ht="18.75">
      <c r="A38" s="344"/>
      <c r="B38" s="344"/>
      <c r="C38" s="344"/>
      <c r="D38" s="344" t="s">
        <v>147</v>
      </c>
      <c r="E38" s="345"/>
    </row>
  </sheetData>
  <mergeCells count="10">
    <mergeCell ref="C33:E33"/>
    <mergeCell ref="D34:E34"/>
    <mergeCell ref="F35:G35"/>
    <mergeCell ref="A38:C38"/>
    <mergeCell ref="D38:E38"/>
    <mergeCell ref="A1:E1"/>
    <mergeCell ref="A2:E2"/>
    <mergeCell ref="A3:E3"/>
    <mergeCell ref="D32:E32"/>
    <mergeCell ref="B32:C32"/>
  </mergeCells>
  <phoneticPr fontId="4" type="noConversion"/>
  <pageMargins left="0.75" right="0.31" top="0.46" bottom="0.16" header="0.77" footer="0.16"/>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IV65536"/>
    </sheetView>
  </sheetViews>
  <sheetFormatPr defaultRowHeight="15"/>
  <cols>
    <col min="1" max="1" width="4.6640625" customWidth="1"/>
    <col min="2" max="2" width="34.88671875" customWidth="1"/>
    <col min="3" max="3" width="8.33203125" style="151" customWidth="1"/>
    <col min="4" max="4" width="20.88671875" customWidth="1"/>
    <col min="5" max="5" width="13.6640625" customWidth="1"/>
    <col min="6" max="6" width="19.109375" customWidth="1"/>
  </cols>
  <sheetData>
    <row r="1" spans="1:8" ht="27.75" customHeight="1">
      <c r="A1" s="346" t="s">
        <v>159</v>
      </c>
      <c r="B1" s="346"/>
      <c r="C1" s="346"/>
      <c r="D1" s="346"/>
      <c r="E1" s="346"/>
      <c r="F1" s="122"/>
      <c r="G1" s="122"/>
      <c r="H1" s="122"/>
    </row>
    <row r="2" spans="1:8" ht="15.75">
      <c r="A2" s="347" t="s">
        <v>217</v>
      </c>
      <c r="B2" s="347"/>
      <c r="C2" s="347"/>
      <c r="D2" s="347"/>
      <c r="E2" s="347"/>
      <c r="F2" s="123"/>
      <c r="G2" s="123"/>
      <c r="H2" s="123"/>
    </row>
    <row r="3" spans="1:8" ht="21" customHeight="1">
      <c r="A3" s="348"/>
      <c r="B3" s="348"/>
      <c r="C3" s="348"/>
      <c r="D3" s="348"/>
      <c r="E3" s="348"/>
      <c r="F3" s="124"/>
      <c r="G3" s="124"/>
      <c r="H3" s="124"/>
    </row>
    <row r="4" spans="1:8" ht="9" customHeight="1" thickBot="1"/>
    <row r="5" spans="1:8" s="159" customFormat="1" ht="39.75" customHeight="1">
      <c r="A5" s="155" t="s">
        <v>21</v>
      </c>
      <c r="B5" s="156" t="s">
        <v>89</v>
      </c>
      <c r="C5" s="157" t="s">
        <v>90</v>
      </c>
      <c r="D5" s="156" t="s">
        <v>91</v>
      </c>
      <c r="E5" s="158" t="s">
        <v>92</v>
      </c>
    </row>
    <row r="6" spans="1:8" ht="21.95" customHeight="1">
      <c r="A6" s="59">
        <v>1</v>
      </c>
      <c r="B6" s="60" t="s">
        <v>93</v>
      </c>
      <c r="C6" s="61" t="s">
        <v>94</v>
      </c>
      <c r="D6" s="66" t="s">
        <v>126</v>
      </c>
      <c r="E6" s="62">
        <v>849229000</v>
      </c>
    </row>
    <row r="7" spans="1:8" ht="21.95" customHeight="1">
      <c r="A7" s="59">
        <v>2</v>
      </c>
      <c r="B7" s="60" t="s">
        <v>218</v>
      </c>
      <c r="C7" s="61" t="s">
        <v>134</v>
      </c>
      <c r="D7" s="66" t="s">
        <v>126</v>
      </c>
      <c r="E7" s="62">
        <v>311850000</v>
      </c>
    </row>
    <row r="8" spans="1:8" ht="21.95" customHeight="1">
      <c r="A8" s="70">
        <v>3</v>
      </c>
      <c r="B8" s="71" t="s">
        <v>95</v>
      </c>
      <c r="C8" s="72" t="s">
        <v>96</v>
      </c>
      <c r="D8" s="66" t="s">
        <v>126</v>
      </c>
      <c r="E8" s="73">
        <v>27761000</v>
      </c>
    </row>
    <row r="9" spans="1:8" ht="21.95" customHeight="1">
      <c r="A9" s="70">
        <v>4</v>
      </c>
      <c r="B9" s="71" t="s">
        <v>97</v>
      </c>
      <c r="C9" s="72" t="s">
        <v>98</v>
      </c>
      <c r="D9" s="72" t="s">
        <v>149</v>
      </c>
      <c r="E9" s="73">
        <f>ROUND(SUM(E10:E13),-3)</f>
        <v>88704000</v>
      </c>
    </row>
    <row r="10" spans="1:8" ht="21.95" customHeight="1">
      <c r="A10" s="97" t="s">
        <v>77</v>
      </c>
      <c r="B10" s="74" t="s">
        <v>220</v>
      </c>
      <c r="C10" s="75" t="s">
        <v>99</v>
      </c>
      <c r="D10" s="66" t="s">
        <v>126</v>
      </c>
      <c r="E10" s="76">
        <f>15167674+26848000+14194000</f>
        <v>56209674</v>
      </c>
    </row>
    <row r="11" spans="1:8" ht="33.75" customHeight="1">
      <c r="A11" s="97" t="s">
        <v>77</v>
      </c>
      <c r="B11" s="79" t="s">
        <v>132</v>
      </c>
      <c r="C11" s="75" t="s">
        <v>100</v>
      </c>
      <c r="D11" s="66" t="s">
        <v>126</v>
      </c>
      <c r="E11" s="78">
        <v>4000000</v>
      </c>
    </row>
    <row r="12" spans="1:8" ht="21.95" customHeight="1">
      <c r="A12" s="97" t="s">
        <v>77</v>
      </c>
      <c r="B12" s="79" t="s">
        <v>104</v>
      </c>
      <c r="C12" s="75" t="s">
        <v>101</v>
      </c>
      <c r="D12" s="66" t="s">
        <v>126</v>
      </c>
      <c r="E12" s="78">
        <f>1380000+1686000+507000+619000</f>
        <v>4192000</v>
      </c>
    </row>
    <row r="13" spans="1:8" ht="21.95" customHeight="1">
      <c r="A13" s="97" t="s">
        <v>77</v>
      </c>
      <c r="B13" s="79" t="s">
        <v>221</v>
      </c>
      <c r="C13" s="75" t="s">
        <v>102</v>
      </c>
      <c r="D13" s="66" t="s">
        <v>126</v>
      </c>
      <c r="E13" s="78">
        <f>22063000+2239000</f>
        <v>24302000</v>
      </c>
    </row>
    <row r="14" spans="1:8" ht="21.95" customHeight="1">
      <c r="A14" s="84" t="s">
        <v>219</v>
      </c>
      <c r="B14" s="71" t="s">
        <v>106</v>
      </c>
      <c r="C14" s="72" t="s">
        <v>107</v>
      </c>
      <c r="D14" s="72" t="s">
        <v>150</v>
      </c>
      <c r="E14" s="73">
        <f>ROUND(SUM(E15:E19),-3)</f>
        <v>53743000</v>
      </c>
    </row>
    <row r="15" spans="1:8" ht="33.75" customHeight="1">
      <c r="A15" s="98" t="s">
        <v>77</v>
      </c>
      <c r="B15" s="86" t="s">
        <v>108</v>
      </c>
      <c r="C15" s="87" t="s">
        <v>109</v>
      </c>
      <c r="D15" s="66" t="s">
        <v>126</v>
      </c>
      <c r="E15" s="78">
        <v>34789000</v>
      </c>
    </row>
    <row r="16" spans="1:8" ht="21.95" customHeight="1">
      <c r="A16" s="98" t="s">
        <v>77</v>
      </c>
      <c r="B16" s="79" t="s">
        <v>133</v>
      </c>
      <c r="C16" s="87" t="s">
        <v>110</v>
      </c>
      <c r="D16" s="66" t="s">
        <v>126</v>
      </c>
      <c r="E16" s="78">
        <v>266000</v>
      </c>
    </row>
    <row r="17" spans="1:7" ht="21.95" customHeight="1">
      <c r="A17" s="98" t="s">
        <v>77</v>
      </c>
      <c r="B17" s="79" t="s">
        <v>145</v>
      </c>
      <c r="C17" s="87" t="s">
        <v>111</v>
      </c>
      <c r="D17" s="66" t="s">
        <v>126</v>
      </c>
      <c r="E17" s="78">
        <v>2000000</v>
      </c>
    </row>
    <row r="18" spans="1:7" ht="21.95" customHeight="1">
      <c r="A18" s="98" t="s">
        <v>77</v>
      </c>
      <c r="B18" s="79" t="s">
        <v>116</v>
      </c>
      <c r="C18" s="87" t="s">
        <v>113</v>
      </c>
      <c r="D18" s="66" t="s">
        <v>126</v>
      </c>
      <c r="E18" s="78">
        <v>13205000</v>
      </c>
    </row>
    <row r="19" spans="1:7" ht="21.95" customHeight="1">
      <c r="A19" s="98" t="s">
        <v>77</v>
      </c>
      <c r="B19" s="79" t="s">
        <v>118</v>
      </c>
      <c r="C19" s="87" t="s">
        <v>115</v>
      </c>
      <c r="D19" s="66" t="s">
        <v>126</v>
      </c>
      <c r="E19" s="78">
        <v>3483000</v>
      </c>
    </row>
    <row r="20" spans="1:7" ht="21.95" customHeight="1">
      <c r="A20" s="70">
        <v>6</v>
      </c>
      <c r="B20" s="71" t="s">
        <v>119</v>
      </c>
      <c r="C20" s="72" t="s">
        <v>224</v>
      </c>
      <c r="D20" s="72" t="s">
        <v>120</v>
      </c>
      <c r="E20" s="73">
        <f>+E21</f>
        <v>60017000</v>
      </c>
    </row>
    <row r="21" spans="1:7" ht="15.75">
      <c r="A21" s="85" t="s">
        <v>121</v>
      </c>
      <c r="B21" s="79" t="s">
        <v>122</v>
      </c>
      <c r="C21" s="77" t="s">
        <v>120</v>
      </c>
      <c r="D21" s="66" t="s">
        <v>126</v>
      </c>
      <c r="E21" s="78">
        <v>60017000</v>
      </c>
    </row>
    <row r="22" spans="1:7" ht="15.75">
      <c r="A22" s="88"/>
      <c r="B22" s="71" t="s">
        <v>223</v>
      </c>
      <c r="C22" s="72" t="s">
        <v>123</v>
      </c>
      <c r="D22" s="72" t="s">
        <v>222</v>
      </c>
      <c r="E22" s="73">
        <f>+E6+E8+E9+E14+E20+E7</f>
        <v>1391304000</v>
      </c>
      <c r="F22" s="154">
        <f>+E22+421000+407000</f>
        <v>1392132000</v>
      </c>
    </row>
    <row r="23" spans="1:7" ht="15.75" thickBot="1">
      <c r="A23" s="89" t="s">
        <v>121</v>
      </c>
      <c r="B23" s="90" t="s">
        <v>121</v>
      </c>
      <c r="C23" s="91" t="s">
        <v>121</v>
      </c>
      <c r="D23" s="91" t="s">
        <v>121</v>
      </c>
      <c r="E23" s="92"/>
      <c r="F23" s="154">
        <f>+F22-1392132000</f>
        <v>0</v>
      </c>
    </row>
    <row r="24" spans="1:7">
      <c r="A24" s="93"/>
      <c r="B24" s="51"/>
      <c r="C24" s="93"/>
      <c r="D24" s="93"/>
      <c r="E24" s="94"/>
    </row>
    <row r="25" spans="1:7" ht="18.75">
      <c r="A25" s="110"/>
      <c r="B25" s="110"/>
      <c r="C25" s="110"/>
      <c r="D25" s="344" t="s">
        <v>148</v>
      </c>
      <c r="E25" s="345"/>
    </row>
    <row r="26" spans="1:7" ht="18.75">
      <c r="A26" s="110"/>
      <c r="B26" s="111"/>
      <c r="C26" s="344"/>
      <c r="D26" s="344"/>
      <c r="E26" s="344"/>
    </row>
    <row r="27" spans="1:7" ht="18.75">
      <c r="A27" s="112"/>
      <c r="B27" s="113"/>
      <c r="C27" s="110"/>
      <c r="D27" s="344"/>
      <c r="E27" s="345"/>
    </row>
    <row r="28" spans="1:7" ht="18.75">
      <c r="A28" s="110"/>
      <c r="B28" s="110"/>
      <c r="C28" s="110"/>
      <c r="D28" s="113"/>
      <c r="E28" s="114"/>
      <c r="F28" s="344"/>
      <c r="G28" s="345"/>
    </row>
    <row r="29" spans="1:7" ht="18">
      <c r="A29" s="110"/>
      <c r="B29" s="110"/>
      <c r="C29" s="110"/>
      <c r="D29" s="113"/>
      <c r="E29" s="114"/>
    </row>
    <row r="30" spans="1:7" ht="18">
      <c r="A30" s="110"/>
      <c r="B30" s="110"/>
      <c r="C30" s="110"/>
      <c r="D30" s="113"/>
      <c r="E30" s="114"/>
    </row>
    <row r="31" spans="1:7" ht="18.75">
      <c r="A31" s="344"/>
      <c r="B31" s="344"/>
      <c r="C31" s="344"/>
      <c r="D31" s="344" t="s">
        <v>147</v>
      </c>
      <c r="E31" s="345"/>
    </row>
  </sheetData>
  <mergeCells count="9">
    <mergeCell ref="A31:C31"/>
    <mergeCell ref="D31:E31"/>
    <mergeCell ref="F28:G28"/>
    <mergeCell ref="D25:E25"/>
    <mergeCell ref="C26:E26"/>
    <mergeCell ref="D27:E27"/>
    <mergeCell ref="A1:E1"/>
    <mergeCell ref="A2:E2"/>
    <mergeCell ref="A3:E3"/>
  </mergeCells>
  <phoneticPr fontId="4" type="noConversion"/>
  <pageMargins left="0.75" right="0.38" top="0.72"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B5" sqref="B5"/>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405</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4040000</v>
      </c>
      <c r="D5" s="221"/>
      <c r="E5" s="222"/>
      <c r="F5" s="222"/>
      <c r="G5" s="222"/>
      <c r="H5" s="222"/>
      <c r="I5" s="222"/>
      <c r="J5" s="225"/>
    </row>
    <row r="6" spans="1:10" ht="31.5">
      <c r="A6" s="226" t="s">
        <v>77</v>
      </c>
      <c r="B6" s="227" t="s">
        <v>379</v>
      </c>
      <c r="C6" s="228"/>
      <c r="D6" s="326" t="s">
        <v>373</v>
      </c>
      <c r="E6" s="229" t="s">
        <v>13</v>
      </c>
      <c r="F6" s="222"/>
      <c r="G6" s="230"/>
      <c r="H6" s="229" t="s">
        <v>16</v>
      </c>
      <c r="I6" s="230" t="s">
        <v>66</v>
      </c>
      <c r="J6" s="225"/>
    </row>
    <row r="7" spans="1:10">
      <c r="A7" s="226" t="s">
        <v>77</v>
      </c>
      <c r="B7" s="227" t="s">
        <v>80</v>
      </c>
      <c r="C7" s="228">
        <v>3812000</v>
      </c>
      <c r="D7" s="319"/>
      <c r="E7" s="229" t="s">
        <v>13</v>
      </c>
      <c r="F7" s="231"/>
      <c r="G7" s="231"/>
      <c r="H7" s="229" t="s">
        <v>16</v>
      </c>
      <c r="I7" s="230" t="s">
        <v>45</v>
      </c>
      <c r="J7" s="221"/>
    </row>
    <row r="8" spans="1:10">
      <c r="A8" s="226" t="s">
        <v>77</v>
      </c>
      <c r="B8" s="227" t="s">
        <v>61</v>
      </c>
      <c r="C8" s="228">
        <v>228000</v>
      </c>
      <c r="D8" s="319"/>
      <c r="E8" s="231"/>
      <c r="F8" s="231"/>
      <c r="G8" s="231"/>
      <c r="H8" s="231"/>
      <c r="I8" s="231"/>
      <c r="J8" s="221"/>
    </row>
    <row r="9" spans="1:10">
      <c r="A9" s="221" t="s">
        <v>60</v>
      </c>
      <c r="B9" s="223" t="s">
        <v>76</v>
      </c>
      <c r="C9" s="224">
        <f>+C10+C14</f>
        <v>1113776200</v>
      </c>
      <c r="D9" s="319"/>
      <c r="E9" s="222"/>
      <c r="F9" s="222"/>
      <c r="G9" s="222"/>
      <c r="H9" s="222"/>
      <c r="I9" s="222"/>
      <c r="J9" s="225"/>
    </row>
    <row r="10" spans="1:10" ht="31.5">
      <c r="A10" s="221" t="s">
        <v>78</v>
      </c>
      <c r="B10" s="223" t="s">
        <v>58</v>
      </c>
      <c r="C10" s="224">
        <f>SUM(C11:C13)</f>
        <v>87397200</v>
      </c>
      <c r="D10" s="319"/>
      <c r="E10" s="222"/>
      <c r="F10" s="222"/>
      <c r="G10" s="222"/>
      <c r="H10" s="222"/>
      <c r="I10" s="222"/>
      <c r="J10" s="225"/>
    </row>
    <row r="11" spans="1:10">
      <c r="A11" s="226" t="s">
        <v>77</v>
      </c>
      <c r="B11" s="227" t="s">
        <v>158</v>
      </c>
      <c r="C11" s="228">
        <f>55587000+3271000+2000000</f>
        <v>60858000</v>
      </c>
      <c r="D11" s="319"/>
      <c r="E11" s="231"/>
      <c r="F11" s="231"/>
      <c r="G11" s="231"/>
      <c r="H11" s="231"/>
      <c r="I11" s="231"/>
      <c r="J11" s="272"/>
    </row>
    <row r="12" spans="1:10" s="244" customFormat="1">
      <c r="A12" s="237" t="s">
        <v>77</v>
      </c>
      <c r="B12" s="238" t="s">
        <v>383</v>
      </c>
      <c r="C12" s="264">
        <f>25232000*0.6</f>
        <v>15139200</v>
      </c>
      <c r="D12" s="319"/>
      <c r="E12" s="240"/>
      <c r="F12" s="265"/>
      <c r="G12" s="241"/>
      <c r="H12" s="240"/>
      <c r="I12" s="241"/>
      <c r="J12" s="272"/>
    </row>
    <row r="13" spans="1:10" s="244" customFormat="1">
      <c r="A13" s="237" t="s">
        <v>77</v>
      </c>
      <c r="B13" s="238" t="s">
        <v>63</v>
      </c>
      <c r="C13" s="239">
        <v>11400000</v>
      </c>
      <c r="D13" s="319"/>
      <c r="E13" s="262"/>
      <c r="F13" s="262"/>
      <c r="G13" s="262"/>
      <c r="H13" s="262"/>
      <c r="I13" s="262"/>
      <c r="J13" s="272"/>
    </row>
    <row r="14" spans="1:10">
      <c r="A14" s="221" t="s">
        <v>81</v>
      </c>
      <c r="B14" s="223" t="s">
        <v>59</v>
      </c>
      <c r="C14" s="224">
        <f>ROUND(SUM(C15:C18),-3)</f>
        <v>1026379000</v>
      </c>
      <c r="D14" s="319"/>
      <c r="E14" s="222"/>
      <c r="F14" s="222"/>
      <c r="G14" s="222"/>
      <c r="H14" s="222"/>
      <c r="I14" s="222"/>
      <c r="J14" s="225"/>
    </row>
    <row r="15" spans="1:10" ht="30">
      <c r="A15" s="226" t="s">
        <v>77</v>
      </c>
      <c r="B15" s="227" t="s">
        <v>384</v>
      </c>
      <c r="C15" s="264">
        <f>25232000*0.4</f>
        <v>10092800</v>
      </c>
      <c r="D15" s="319"/>
      <c r="E15" s="229" t="s">
        <v>13</v>
      </c>
      <c r="F15" s="222"/>
      <c r="G15" s="230" t="s">
        <v>396</v>
      </c>
      <c r="H15" s="229" t="s">
        <v>16</v>
      </c>
      <c r="I15" s="230" t="s">
        <v>46</v>
      </c>
      <c r="J15" s="225"/>
    </row>
    <row r="16" spans="1:10" ht="30">
      <c r="A16" s="226" t="s">
        <v>77</v>
      </c>
      <c r="B16" s="227" t="s">
        <v>394</v>
      </c>
      <c r="C16" s="228">
        <f>945356000+37814000</f>
        <v>983170000</v>
      </c>
      <c r="D16" s="319"/>
      <c r="E16" s="229" t="s">
        <v>13</v>
      </c>
      <c r="F16" s="230" t="s">
        <v>14</v>
      </c>
      <c r="G16" s="230" t="s">
        <v>396</v>
      </c>
      <c r="H16" s="229" t="s">
        <v>16</v>
      </c>
      <c r="I16" s="230" t="s">
        <v>47</v>
      </c>
      <c r="J16" s="245"/>
    </row>
    <row r="17" spans="1:10" ht="31.5">
      <c r="A17" s="226" t="s">
        <v>77</v>
      </c>
      <c r="B17" s="227" t="s">
        <v>398</v>
      </c>
      <c r="C17" s="228">
        <v>30280000</v>
      </c>
      <c r="D17" s="319"/>
      <c r="E17" s="229" t="s">
        <v>13</v>
      </c>
      <c r="F17" s="229"/>
      <c r="G17" s="230" t="s">
        <v>396</v>
      </c>
      <c r="H17" s="229" t="s">
        <v>16</v>
      </c>
      <c r="I17" s="230" t="s">
        <v>48</v>
      </c>
      <c r="J17" s="236"/>
    </row>
    <row r="18" spans="1:10" ht="30">
      <c r="A18" s="226" t="s">
        <v>77</v>
      </c>
      <c r="B18" s="227" t="s">
        <v>318</v>
      </c>
      <c r="C18" s="228">
        <v>2836000</v>
      </c>
      <c r="D18" s="327"/>
      <c r="E18" s="229" t="s">
        <v>13</v>
      </c>
      <c r="F18" s="229"/>
      <c r="G18" s="230" t="s">
        <v>396</v>
      </c>
      <c r="H18" s="229" t="s">
        <v>16</v>
      </c>
      <c r="I18" s="230" t="s">
        <v>46</v>
      </c>
      <c r="J18" s="225"/>
    </row>
    <row r="19" spans="1:10">
      <c r="A19" s="221"/>
      <c r="B19" s="223" t="s">
        <v>64</v>
      </c>
      <c r="C19" s="224">
        <f>ROUND((C5+C9),-3)</f>
        <v>1117816000</v>
      </c>
      <c r="D19" s="222"/>
      <c r="E19" s="222"/>
      <c r="F19" s="222"/>
      <c r="G19" s="222"/>
      <c r="H19" s="222"/>
      <c r="I19" s="222"/>
      <c r="J19" s="225"/>
    </row>
    <row r="20" spans="1:10" ht="36.75" customHeight="1">
      <c r="A20" s="267"/>
      <c r="B20" s="268"/>
      <c r="C20" s="269"/>
      <c r="D20" s="270"/>
      <c r="E20" s="270"/>
      <c r="F20" s="270"/>
      <c r="G20" s="270"/>
      <c r="H20" s="270"/>
      <c r="I20" s="270"/>
      <c r="J20" s="271"/>
    </row>
    <row r="21" spans="1:10" ht="21.75" customHeight="1">
      <c r="A21" s="316" t="s">
        <v>27</v>
      </c>
      <c r="B21" s="316"/>
      <c r="C21" s="316"/>
      <c r="D21" s="316"/>
      <c r="E21" s="316"/>
      <c r="F21" s="316"/>
      <c r="G21" s="316"/>
      <c r="H21" s="316"/>
      <c r="I21" s="316"/>
    </row>
    <row r="22" spans="1:10" ht="16.5">
      <c r="A22" s="317" t="s">
        <v>407</v>
      </c>
      <c r="B22" s="317"/>
      <c r="C22" s="317"/>
      <c r="D22" s="317"/>
      <c r="E22" s="317"/>
      <c r="F22" s="317"/>
      <c r="G22" s="317"/>
      <c r="H22" s="317"/>
      <c r="I22" s="317"/>
    </row>
    <row r="23" spans="1:10">
      <c r="H23" s="318"/>
      <c r="I23" s="318"/>
    </row>
    <row r="24" spans="1:10" ht="63">
      <c r="A24" s="221" t="s">
        <v>21</v>
      </c>
      <c r="B24" s="221" t="s">
        <v>0</v>
      </c>
      <c r="C24" s="221" t="s">
        <v>83</v>
      </c>
      <c r="D24" s="221" t="s">
        <v>1</v>
      </c>
      <c r="E24" s="221" t="s">
        <v>2</v>
      </c>
      <c r="F24" s="221" t="s">
        <v>3</v>
      </c>
      <c r="G24" s="221" t="s">
        <v>4</v>
      </c>
      <c r="H24" s="221" t="s">
        <v>5</v>
      </c>
      <c r="I24" s="221" t="s">
        <v>6</v>
      </c>
      <c r="J24" s="221" t="s">
        <v>65</v>
      </c>
    </row>
    <row r="25" spans="1:10">
      <c r="A25" s="221" t="s">
        <v>57</v>
      </c>
      <c r="B25" s="223" t="s">
        <v>75</v>
      </c>
      <c r="C25" s="224">
        <f>SUM(C26:C28)</f>
        <v>86224000</v>
      </c>
      <c r="D25" s="221"/>
      <c r="E25" s="222"/>
      <c r="F25" s="222"/>
      <c r="G25" s="222"/>
      <c r="H25" s="222"/>
      <c r="I25" s="222"/>
      <c r="J25" s="225"/>
    </row>
    <row r="26" spans="1:10" ht="31.5">
      <c r="A26" s="226" t="s">
        <v>77</v>
      </c>
      <c r="B26" s="227" t="s">
        <v>379</v>
      </c>
      <c r="C26" s="228">
        <f>31135000+51049000</f>
        <v>82184000</v>
      </c>
      <c r="D26" s="326" t="s">
        <v>373</v>
      </c>
      <c r="E26" s="229" t="s">
        <v>13</v>
      </c>
      <c r="F26" s="222"/>
      <c r="G26" s="230"/>
      <c r="H26" s="229" t="s">
        <v>16</v>
      </c>
      <c r="I26" s="230" t="s">
        <v>66</v>
      </c>
      <c r="J26" s="225"/>
    </row>
    <row r="27" spans="1:10" ht="31.5">
      <c r="A27" s="226" t="s">
        <v>77</v>
      </c>
      <c r="B27" s="227" t="s">
        <v>80</v>
      </c>
      <c r="C27" s="228">
        <v>3812000</v>
      </c>
      <c r="D27" s="319"/>
      <c r="E27" s="229" t="s">
        <v>13</v>
      </c>
      <c r="F27" s="231"/>
      <c r="G27" s="231"/>
      <c r="H27" s="229" t="s">
        <v>16</v>
      </c>
      <c r="I27" s="230" t="s">
        <v>45</v>
      </c>
      <c r="J27" s="221"/>
    </row>
    <row r="28" spans="1:10">
      <c r="A28" s="226" t="s">
        <v>77</v>
      </c>
      <c r="B28" s="227" t="s">
        <v>61</v>
      </c>
      <c r="C28" s="228">
        <v>228000</v>
      </c>
      <c r="D28" s="319"/>
      <c r="E28" s="231"/>
      <c r="F28" s="231"/>
      <c r="G28" s="231"/>
      <c r="H28" s="231"/>
      <c r="I28" s="231"/>
      <c r="J28" s="221"/>
    </row>
    <row r="29" spans="1:10">
      <c r="A29" s="221" t="s">
        <v>60</v>
      </c>
      <c r="B29" s="223" t="s">
        <v>76</v>
      </c>
      <c r="C29" s="224">
        <f>+C30+C34</f>
        <v>1113776200</v>
      </c>
      <c r="D29" s="319"/>
      <c r="E29" s="222"/>
      <c r="F29" s="222"/>
      <c r="G29" s="222"/>
      <c r="H29" s="222"/>
      <c r="I29" s="222"/>
      <c r="J29" s="225"/>
    </row>
    <row r="30" spans="1:10" ht="31.5">
      <c r="A30" s="221" t="s">
        <v>78</v>
      </c>
      <c r="B30" s="223" t="s">
        <v>58</v>
      </c>
      <c r="C30" s="224">
        <f>SUM(C31:C33)</f>
        <v>87397200</v>
      </c>
      <c r="D30" s="319"/>
      <c r="E30" s="222"/>
      <c r="F30" s="222"/>
      <c r="G30" s="222"/>
      <c r="H30" s="222"/>
      <c r="I30" s="222"/>
      <c r="J30" s="225"/>
    </row>
    <row r="31" spans="1:10">
      <c r="A31" s="226" t="s">
        <v>77</v>
      </c>
      <c r="B31" s="227" t="s">
        <v>158</v>
      </c>
      <c r="C31" s="228">
        <f>55587000+3271000+2000000</f>
        <v>60858000</v>
      </c>
      <c r="D31" s="319"/>
      <c r="E31" s="231"/>
      <c r="F31" s="231"/>
      <c r="G31" s="231"/>
      <c r="H31" s="231"/>
      <c r="I31" s="231"/>
      <c r="J31" s="328"/>
    </row>
    <row r="32" spans="1:10">
      <c r="A32" s="237" t="s">
        <v>77</v>
      </c>
      <c r="B32" s="238" t="s">
        <v>383</v>
      </c>
      <c r="C32" s="264">
        <f>25232000*0.6</f>
        <v>15139200</v>
      </c>
      <c r="D32" s="319"/>
      <c r="E32" s="240"/>
      <c r="F32" s="265"/>
      <c r="G32" s="241"/>
      <c r="H32" s="240"/>
      <c r="I32" s="241"/>
      <c r="J32" s="328"/>
    </row>
    <row r="33" spans="1:10">
      <c r="A33" s="237" t="s">
        <v>77</v>
      </c>
      <c r="B33" s="238" t="s">
        <v>63</v>
      </c>
      <c r="C33" s="239">
        <v>11400000</v>
      </c>
      <c r="D33" s="319"/>
      <c r="E33" s="262"/>
      <c r="F33" s="262"/>
      <c r="G33" s="262"/>
      <c r="H33" s="262"/>
      <c r="I33" s="262"/>
      <c r="J33" s="328"/>
    </row>
    <row r="34" spans="1:10">
      <c r="A34" s="221" t="s">
        <v>81</v>
      </c>
      <c r="B34" s="223" t="s">
        <v>59</v>
      </c>
      <c r="C34" s="224">
        <f>ROUND(SUM(C35:C38),-3)</f>
        <v>1026379000</v>
      </c>
      <c r="D34" s="319"/>
      <c r="E34" s="222"/>
      <c r="F34" s="222"/>
      <c r="G34" s="222"/>
      <c r="H34" s="222"/>
      <c r="I34" s="222"/>
      <c r="J34" s="225"/>
    </row>
    <row r="35" spans="1:10" ht="30">
      <c r="A35" s="226" t="s">
        <v>77</v>
      </c>
      <c r="B35" s="227" t="s">
        <v>384</v>
      </c>
      <c r="C35" s="264">
        <f>25232000*0.4</f>
        <v>10092800</v>
      </c>
      <c r="D35" s="319"/>
      <c r="E35" s="229" t="s">
        <v>13</v>
      </c>
      <c r="F35" s="222"/>
      <c r="G35" s="230" t="s">
        <v>396</v>
      </c>
      <c r="H35" s="229" t="s">
        <v>16</v>
      </c>
      <c r="I35" s="230" t="s">
        <v>46</v>
      </c>
      <c r="J35" s="225"/>
    </row>
    <row r="36" spans="1:10" ht="30">
      <c r="A36" s="226" t="s">
        <v>77</v>
      </c>
      <c r="B36" s="227" t="s">
        <v>394</v>
      </c>
      <c r="C36" s="228">
        <f>945356000+37814000</f>
        <v>983170000</v>
      </c>
      <c r="D36" s="319"/>
      <c r="E36" s="229" t="s">
        <v>13</v>
      </c>
      <c r="F36" s="230" t="s">
        <v>14</v>
      </c>
      <c r="G36" s="230" t="s">
        <v>396</v>
      </c>
      <c r="H36" s="229" t="s">
        <v>16</v>
      </c>
      <c r="I36" s="230" t="s">
        <v>47</v>
      </c>
      <c r="J36" s="245"/>
    </row>
    <row r="37" spans="1:10" ht="31.5">
      <c r="A37" s="226" t="s">
        <v>77</v>
      </c>
      <c r="B37" s="227" t="s">
        <v>398</v>
      </c>
      <c r="C37" s="228">
        <v>30280000</v>
      </c>
      <c r="D37" s="319"/>
      <c r="E37" s="229" t="s">
        <v>13</v>
      </c>
      <c r="F37" s="229"/>
      <c r="G37" s="230" t="s">
        <v>396</v>
      </c>
      <c r="H37" s="229" t="s">
        <v>16</v>
      </c>
      <c r="I37" s="230" t="s">
        <v>319</v>
      </c>
      <c r="J37" s="236"/>
    </row>
    <row r="38" spans="1:10" ht="30">
      <c r="A38" s="226" t="s">
        <v>77</v>
      </c>
      <c r="B38" s="227" t="s">
        <v>318</v>
      </c>
      <c r="C38" s="228">
        <v>2836000</v>
      </c>
      <c r="D38" s="327"/>
      <c r="E38" s="229" t="s">
        <v>13</v>
      </c>
      <c r="F38" s="229"/>
      <c r="G38" s="230" t="s">
        <v>396</v>
      </c>
      <c r="H38" s="229" t="s">
        <v>16</v>
      </c>
      <c r="I38" s="230" t="s">
        <v>46</v>
      </c>
      <c r="J38" s="225"/>
    </row>
    <row r="39" spans="1:10">
      <c r="A39" s="221"/>
      <c r="B39" s="223" t="s">
        <v>64</v>
      </c>
      <c r="C39" s="224">
        <f>ROUND((C25+C29),-3)</f>
        <v>1200000000</v>
      </c>
      <c r="D39" s="222"/>
      <c r="E39" s="222"/>
      <c r="F39" s="222"/>
      <c r="G39" s="222"/>
      <c r="H39" s="222"/>
      <c r="I39" s="222"/>
      <c r="J39" s="225"/>
    </row>
  </sheetData>
  <mergeCells count="9">
    <mergeCell ref="A1:I1"/>
    <mergeCell ref="A2:I2"/>
    <mergeCell ref="H3:I3"/>
    <mergeCell ref="D6:D18"/>
    <mergeCell ref="J31:J33"/>
    <mergeCell ref="D26:D38"/>
    <mergeCell ref="A21:I21"/>
    <mergeCell ref="A22:I22"/>
    <mergeCell ref="H23:I23"/>
  </mergeCells>
  <phoneticPr fontId="4" type="noConversion"/>
  <pageMargins left="0.33" right="0.17" top="0.67"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4" workbookViewId="0">
      <selection activeCell="A4"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60475674</v>
      </c>
      <c r="D5" s="10"/>
      <c r="E5" s="43"/>
      <c r="F5" s="43"/>
      <c r="G5" s="43"/>
      <c r="H5" s="43"/>
      <c r="I5" s="43"/>
      <c r="J5" s="29"/>
    </row>
    <row r="6" spans="1:12" s="33" customFormat="1" ht="31.5">
      <c r="A6" s="37" t="s">
        <v>77</v>
      </c>
      <c r="B6" s="31" t="s">
        <v>213</v>
      </c>
      <c r="C6" s="21">
        <f>15167674+26848000+14194000</f>
        <v>56209674</v>
      </c>
      <c r="D6" s="339" t="s">
        <v>35</v>
      </c>
      <c r="E6" s="44" t="s">
        <v>13</v>
      </c>
      <c r="F6" s="43"/>
      <c r="G6" s="45"/>
      <c r="H6" s="44" t="s">
        <v>16</v>
      </c>
      <c r="I6" s="45" t="s">
        <v>66</v>
      </c>
      <c r="J6" s="32"/>
    </row>
    <row r="7" spans="1:12" s="27" customFormat="1">
      <c r="A7" s="37" t="s">
        <v>77</v>
      </c>
      <c r="B7" s="20" t="s">
        <v>80</v>
      </c>
      <c r="C7" s="21">
        <v>4000000</v>
      </c>
      <c r="D7" s="339"/>
      <c r="E7" s="44" t="s">
        <v>13</v>
      </c>
      <c r="F7" s="46"/>
      <c r="G7" s="46"/>
      <c r="H7" s="44" t="s">
        <v>16</v>
      </c>
      <c r="I7" s="45" t="s">
        <v>17</v>
      </c>
      <c r="J7" s="10"/>
    </row>
    <row r="8" spans="1:12" s="27" customFormat="1">
      <c r="A8" s="37" t="s">
        <v>77</v>
      </c>
      <c r="B8" s="20" t="s">
        <v>61</v>
      </c>
      <c r="C8" s="21">
        <v>266000</v>
      </c>
      <c r="D8" s="339"/>
      <c r="E8" s="46"/>
      <c r="F8" s="46"/>
      <c r="G8" s="46"/>
      <c r="H8" s="46"/>
      <c r="I8" s="46"/>
      <c r="J8" s="10"/>
    </row>
    <row r="9" spans="1:12">
      <c r="A9" s="10" t="s">
        <v>60</v>
      </c>
      <c r="B9" s="26" t="s">
        <v>76</v>
      </c>
      <c r="C9" s="28">
        <f>+C10+C14</f>
        <v>1330828000</v>
      </c>
      <c r="D9" s="43"/>
      <c r="E9" s="43"/>
      <c r="F9" s="43"/>
      <c r="G9" s="43"/>
      <c r="H9" s="43"/>
      <c r="I9" s="43"/>
      <c r="J9" s="29"/>
    </row>
    <row r="10" spans="1:12" ht="31.5">
      <c r="A10" s="10" t="s">
        <v>78</v>
      </c>
      <c r="B10" s="26" t="s">
        <v>58</v>
      </c>
      <c r="C10" s="28">
        <f>SUM(C11:C13)</f>
        <v>75222000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29"/>
    </row>
    <row r="12" spans="1:12" s="27" customFormat="1" ht="31.5" customHeight="1">
      <c r="A12" s="38" t="s">
        <v>77</v>
      </c>
      <c r="B12" s="20" t="s">
        <v>158</v>
      </c>
      <c r="C12" s="21">
        <v>60017000</v>
      </c>
      <c r="D12" s="334"/>
      <c r="E12" s="46"/>
      <c r="F12" s="46"/>
      <c r="G12" s="46"/>
      <c r="H12" s="46"/>
      <c r="I12" s="46"/>
      <c r="J12" s="329"/>
    </row>
    <row r="13" spans="1:12" s="27" customFormat="1" ht="31.5" customHeight="1">
      <c r="A13" s="38" t="s">
        <v>77</v>
      </c>
      <c r="B13" s="20" t="s">
        <v>63</v>
      </c>
      <c r="C13" s="21">
        <v>13205000</v>
      </c>
      <c r="D13" s="335"/>
      <c r="E13" s="46"/>
      <c r="F13" s="46"/>
      <c r="G13" s="46"/>
      <c r="H13" s="46"/>
      <c r="I13" s="46"/>
      <c r="J13" s="329"/>
    </row>
    <row r="14" spans="1:12">
      <c r="A14" s="10" t="s">
        <v>81</v>
      </c>
      <c r="B14" s="26" t="s">
        <v>59</v>
      </c>
      <c r="C14" s="28">
        <f>ROUND(SUM(C15:C19),-3)</f>
        <v>1255606000</v>
      </c>
      <c r="D14" s="43"/>
      <c r="E14" s="43"/>
      <c r="F14" s="43"/>
      <c r="G14" s="43"/>
      <c r="H14" s="43"/>
      <c r="I14" s="43"/>
      <c r="J14" s="29"/>
    </row>
    <row r="15" spans="1:12" s="33" customFormat="1" ht="31.5">
      <c r="A15" s="37" t="s">
        <v>77</v>
      </c>
      <c r="B15" s="31" t="s">
        <v>40</v>
      </c>
      <c r="C15" s="21">
        <v>4192000</v>
      </c>
      <c r="D15" s="333" t="s">
        <v>35</v>
      </c>
      <c r="E15" s="44" t="s">
        <v>13</v>
      </c>
      <c r="F15" s="47"/>
      <c r="G15" s="45" t="s">
        <v>56</v>
      </c>
      <c r="H15" s="44" t="s">
        <v>16</v>
      </c>
      <c r="I15" s="45" t="s">
        <v>17</v>
      </c>
      <c r="J15" s="32"/>
    </row>
    <row r="16" spans="1:12" s="33" customFormat="1">
      <c r="A16" s="37" t="s">
        <v>77</v>
      </c>
      <c r="B16" s="31" t="s">
        <v>67</v>
      </c>
      <c r="C16" s="21">
        <v>27761000</v>
      </c>
      <c r="D16" s="334"/>
      <c r="E16" s="44" t="s">
        <v>13</v>
      </c>
      <c r="F16" s="47"/>
      <c r="G16" s="45" t="s">
        <v>56</v>
      </c>
      <c r="H16" s="44" t="s">
        <v>16</v>
      </c>
      <c r="I16" s="45" t="s">
        <v>46</v>
      </c>
      <c r="J16" s="34"/>
      <c r="K16" s="35"/>
      <c r="L16" s="35"/>
    </row>
    <row r="17" spans="1:12" s="33" customFormat="1" ht="45">
      <c r="A17" s="37" t="s">
        <v>77</v>
      </c>
      <c r="B17" s="31" t="s">
        <v>214</v>
      </c>
      <c r="C17" s="21">
        <f>849229000+311850000+34789000</f>
        <v>1195868000</v>
      </c>
      <c r="D17" s="334"/>
      <c r="E17" s="44" t="s">
        <v>72</v>
      </c>
      <c r="F17" s="42" t="s">
        <v>14</v>
      </c>
      <c r="G17" s="45" t="s">
        <v>56</v>
      </c>
      <c r="H17" s="44" t="s">
        <v>16</v>
      </c>
      <c r="I17" s="116" t="s">
        <v>225</v>
      </c>
      <c r="J17" s="36" t="s">
        <v>216</v>
      </c>
      <c r="K17" s="35">
        <v>12122000</v>
      </c>
      <c r="L17" s="35" t="e">
        <f>+J17+K17</f>
        <v>#VALUE!</v>
      </c>
    </row>
    <row r="18" spans="1:12" ht="31.5">
      <c r="A18" s="37" t="s">
        <v>77</v>
      </c>
      <c r="B18" s="20" t="s">
        <v>215</v>
      </c>
      <c r="C18" s="23">
        <v>24302000</v>
      </c>
      <c r="D18" s="334"/>
      <c r="E18" s="47" t="s">
        <v>13</v>
      </c>
      <c r="F18" s="47"/>
      <c r="G18" s="42" t="s">
        <v>56</v>
      </c>
      <c r="H18" s="47" t="s">
        <v>16</v>
      </c>
      <c r="I18" s="42" t="s">
        <v>71</v>
      </c>
      <c r="J18" s="30"/>
      <c r="K18" s="24"/>
      <c r="L18" s="24"/>
    </row>
    <row r="19" spans="1:12">
      <c r="A19" s="37" t="s">
        <v>77</v>
      </c>
      <c r="B19" s="20" t="s">
        <v>70</v>
      </c>
      <c r="C19" s="23">
        <v>3483000</v>
      </c>
      <c r="D19" s="335"/>
      <c r="E19" s="47" t="s">
        <v>13</v>
      </c>
      <c r="F19" s="47"/>
      <c r="G19" s="42" t="s">
        <v>56</v>
      </c>
      <c r="H19" s="47" t="s">
        <v>16</v>
      </c>
      <c r="I19" s="42" t="s">
        <v>46</v>
      </c>
      <c r="J19" s="29"/>
    </row>
    <row r="20" spans="1:12">
      <c r="A20" s="10"/>
      <c r="B20" s="26" t="s">
        <v>64</v>
      </c>
      <c r="C20" s="28">
        <f>ROUND((C5+C9),-3)</f>
        <v>1391304000</v>
      </c>
      <c r="D20" s="43"/>
      <c r="E20" s="43"/>
      <c r="F20" s="43"/>
      <c r="G20" s="43"/>
      <c r="H20" s="43"/>
      <c r="I20" s="43"/>
      <c r="J20" s="29"/>
    </row>
    <row r="27" spans="1:12">
      <c r="C27" s="41">
        <f>+C20+421000+407000</f>
        <v>1392132000</v>
      </c>
      <c r="D27" s="100">
        <f>+C20-C12</f>
        <v>1331287000</v>
      </c>
      <c r="E27" s="100">
        <f>D27*0.9</f>
        <v>1198158300</v>
      </c>
    </row>
    <row r="28" spans="1:12">
      <c r="C28" s="99"/>
      <c r="D28" s="100"/>
      <c r="E28" s="115"/>
    </row>
    <row r="52" spans="1:11" ht="47.25" customHeight="1"/>
    <row r="53" spans="1:11" ht="50.2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226</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60475674</v>
      </c>
      <c r="D59" s="10"/>
      <c r="E59" s="43"/>
      <c r="F59" s="43"/>
      <c r="G59" s="43"/>
      <c r="H59" s="43"/>
      <c r="I59" s="43"/>
      <c r="J59" s="29"/>
    </row>
    <row r="60" spans="1:11" ht="47.25" customHeight="1">
      <c r="A60" s="37" t="s">
        <v>77</v>
      </c>
      <c r="B60" s="31" t="s">
        <v>213</v>
      </c>
      <c r="C60" s="21">
        <f>15167674+26848000+14194000</f>
        <v>56209674</v>
      </c>
      <c r="D60" s="339" t="s">
        <v>35</v>
      </c>
      <c r="E60" s="44" t="s">
        <v>13</v>
      </c>
      <c r="F60" s="43"/>
      <c r="G60" s="45"/>
      <c r="H60" s="44" t="s">
        <v>16</v>
      </c>
      <c r="I60" s="45" t="s">
        <v>66</v>
      </c>
      <c r="J60" s="32"/>
      <c r="K60" s="33"/>
    </row>
    <row r="61" spans="1:11" ht="31.5">
      <c r="A61" s="37" t="s">
        <v>77</v>
      </c>
      <c r="B61" s="20" t="s">
        <v>80</v>
      </c>
      <c r="C61" s="21">
        <v>4000000</v>
      </c>
      <c r="D61" s="339"/>
      <c r="E61" s="44" t="s">
        <v>13</v>
      </c>
      <c r="F61" s="46"/>
      <c r="G61" s="46"/>
      <c r="H61" s="44" t="s">
        <v>16</v>
      </c>
      <c r="I61" s="45" t="s">
        <v>17</v>
      </c>
      <c r="J61" s="10"/>
      <c r="K61" s="27"/>
    </row>
    <row r="62" spans="1:11">
      <c r="A62" s="37" t="s">
        <v>77</v>
      </c>
      <c r="B62" s="20" t="s">
        <v>61</v>
      </c>
      <c r="C62" s="21">
        <v>266000</v>
      </c>
      <c r="D62" s="339"/>
      <c r="E62" s="46"/>
      <c r="F62" s="46"/>
      <c r="G62" s="46"/>
      <c r="H62" s="46"/>
      <c r="I62" s="46"/>
      <c r="J62" s="10"/>
      <c r="K62" s="27"/>
    </row>
    <row r="63" spans="1:11">
      <c r="A63" s="10" t="s">
        <v>60</v>
      </c>
      <c r="B63" s="26" t="s">
        <v>76</v>
      </c>
      <c r="C63" s="28">
        <f>+C64+C68</f>
        <v>1330828000</v>
      </c>
      <c r="D63" s="43"/>
      <c r="E63" s="43"/>
      <c r="F63" s="43"/>
      <c r="G63" s="43"/>
      <c r="H63" s="43"/>
      <c r="I63" s="43"/>
      <c r="J63" s="29"/>
    </row>
    <row r="64" spans="1:11" ht="15.75" customHeight="1">
      <c r="A64" s="10" t="s">
        <v>78</v>
      </c>
      <c r="B64" s="26" t="s">
        <v>58</v>
      </c>
      <c r="C64" s="28">
        <f>SUM(C65:C67)</f>
        <v>75222000</v>
      </c>
      <c r="D64" s="43"/>
      <c r="E64" s="43"/>
      <c r="F64" s="43"/>
      <c r="G64" s="43"/>
      <c r="H64" s="43"/>
      <c r="I64" s="43"/>
      <c r="J64" s="29"/>
    </row>
    <row r="65" spans="1:11" ht="31.5" customHeight="1">
      <c r="A65" s="38" t="s">
        <v>77</v>
      </c>
      <c r="B65" s="20" t="s">
        <v>79</v>
      </c>
      <c r="C65" s="21">
        <v>2000000</v>
      </c>
      <c r="D65" s="333" t="s">
        <v>35</v>
      </c>
      <c r="E65" s="46"/>
      <c r="F65" s="46"/>
      <c r="G65" s="46"/>
      <c r="H65" s="46"/>
      <c r="I65" s="46"/>
      <c r="J65" s="329"/>
      <c r="K65" s="27"/>
    </row>
    <row r="66" spans="1:11" ht="31.5" customHeight="1">
      <c r="A66" s="38" t="s">
        <v>77</v>
      </c>
      <c r="B66" s="20" t="s">
        <v>158</v>
      </c>
      <c r="C66" s="21">
        <v>60017000</v>
      </c>
      <c r="D66" s="334"/>
      <c r="E66" s="46"/>
      <c r="F66" s="46"/>
      <c r="G66" s="46"/>
      <c r="H66" s="46"/>
      <c r="I66" s="46"/>
      <c r="J66" s="329"/>
      <c r="K66" s="27"/>
    </row>
    <row r="67" spans="1:11" ht="31.5" customHeight="1">
      <c r="A67" s="38" t="s">
        <v>77</v>
      </c>
      <c r="B67" s="20" t="s">
        <v>63</v>
      </c>
      <c r="C67" s="21">
        <v>13205000</v>
      </c>
      <c r="D67" s="335"/>
      <c r="E67" s="46"/>
      <c r="F67" s="46"/>
      <c r="G67" s="46"/>
      <c r="H67" s="46"/>
      <c r="I67" s="46"/>
      <c r="J67" s="329"/>
    </row>
    <row r="68" spans="1:11" ht="31.5" customHeight="1">
      <c r="A68" s="10" t="s">
        <v>81</v>
      </c>
      <c r="B68" s="26" t="s">
        <v>59</v>
      </c>
      <c r="C68" s="28">
        <f>ROUND(SUM(C69:C73),-3)</f>
        <v>1255606000</v>
      </c>
      <c r="D68" s="43"/>
      <c r="E68" s="43"/>
      <c r="F68" s="43"/>
      <c r="G68" s="43"/>
      <c r="H68" s="43"/>
      <c r="I68" s="43"/>
      <c r="J68" s="29"/>
      <c r="K68" s="33"/>
    </row>
    <row r="69" spans="1:11" ht="31.5" customHeight="1">
      <c r="A69" s="37" t="s">
        <v>77</v>
      </c>
      <c r="B69" s="31" t="s">
        <v>40</v>
      </c>
      <c r="C69" s="21">
        <v>4192000</v>
      </c>
      <c r="D69" s="333" t="s">
        <v>35</v>
      </c>
      <c r="E69" s="44" t="s">
        <v>13</v>
      </c>
      <c r="F69" s="47"/>
      <c r="G69" s="45" t="s">
        <v>56</v>
      </c>
      <c r="H69" s="44" t="s">
        <v>16</v>
      </c>
      <c r="I69" s="45" t="s">
        <v>17</v>
      </c>
      <c r="J69" s="32"/>
      <c r="K69" s="35"/>
    </row>
    <row r="70" spans="1:11">
      <c r="A70" s="37" t="s">
        <v>77</v>
      </c>
      <c r="B70" s="31" t="s">
        <v>67</v>
      </c>
      <c r="C70" s="21">
        <v>27761000</v>
      </c>
      <c r="D70" s="334"/>
      <c r="E70" s="44" t="s">
        <v>13</v>
      </c>
      <c r="F70" s="47"/>
      <c r="G70" s="45" t="s">
        <v>56</v>
      </c>
      <c r="H70" s="44" t="s">
        <v>16</v>
      </c>
      <c r="I70" s="45" t="s">
        <v>46</v>
      </c>
      <c r="J70" s="34"/>
      <c r="K70" s="35">
        <v>12122000</v>
      </c>
    </row>
    <row r="71" spans="1:11" ht="45">
      <c r="A71" s="37" t="s">
        <v>77</v>
      </c>
      <c r="B71" s="31" t="s">
        <v>214</v>
      </c>
      <c r="C71" s="21">
        <f>849229000+311850000+34789000</f>
        <v>1195868000</v>
      </c>
      <c r="D71" s="334"/>
      <c r="E71" s="44" t="s">
        <v>72</v>
      </c>
      <c r="F71" s="42" t="s">
        <v>14</v>
      </c>
      <c r="G71" s="45" t="s">
        <v>56</v>
      </c>
      <c r="H71" s="44" t="s">
        <v>16</v>
      </c>
      <c r="I71" s="116" t="s">
        <v>225</v>
      </c>
      <c r="J71" s="36" t="s">
        <v>216</v>
      </c>
      <c r="K71" s="24"/>
    </row>
    <row r="72" spans="1:11" ht="31.5">
      <c r="A72" s="37" t="s">
        <v>77</v>
      </c>
      <c r="B72" s="20" t="s">
        <v>215</v>
      </c>
      <c r="C72" s="23">
        <v>24302000</v>
      </c>
      <c r="D72" s="334"/>
      <c r="E72" s="47" t="s">
        <v>13</v>
      </c>
      <c r="F72" s="47"/>
      <c r="G72" s="42" t="s">
        <v>56</v>
      </c>
      <c r="H72" s="47" t="s">
        <v>16</v>
      </c>
      <c r="I72" s="42" t="s">
        <v>71</v>
      </c>
      <c r="J72" s="30"/>
    </row>
    <row r="73" spans="1:11">
      <c r="A73" s="37" t="s">
        <v>77</v>
      </c>
      <c r="B73" s="20" t="s">
        <v>70</v>
      </c>
      <c r="C73" s="23">
        <v>3483000</v>
      </c>
      <c r="D73" s="335"/>
      <c r="E73" s="47" t="s">
        <v>13</v>
      </c>
      <c r="F73" s="47"/>
      <c r="G73" s="42" t="s">
        <v>56</v>
      </c>
      <c r="H73" s="47" t="s">
        <v>16</v>
      </c>
      <c r="I73" s="42" t="s">
        <v>46</v>
      </c>
      <c r="J73" s="29"/>
    </row>
    <row r="74" spans="1:11">
      <c r="A74" s="10"/>
      <c r="B74" s="26" t="s">
        <v>64</v>
      </c>
      <c r="C74" s="28">
        <f>ROUND((C59+C63),-3)</f>
        <v>1391304000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39" t="s">
        <v>35</v>
      </c>
      <c r="E79" s="44" t="s">
        <v>13</v>
      </c>
      <c r="F79" s="43"/>
      <c r="G79" s="45"/>
      <c r="H79" s="44" t="s">
        <v>16</v>
      </c>
      <c r="I79" s="45" t="s">
        <v>66</v>
      </c>
      <c r="J79" s="32"/>
      <c r="K79" s="33"/>
    </row>
    <row r="80" spans="1:11" ht="31.5">
      <c r="A80" s="37" t="s">
        <v>77</v>
      </c>
      <c r="B80" s="20" t="s">
        <v>80</v>
      </c>
      <c r="C80" s="21">
        <v>5360429</v>
      </c>
      <c r="D80" s="339"/>
      <c r="E80" s="44" t="s">
        <v>13</v>
      </c>
      <c r="F80" s="46"/>
      <c r="G80" s="46"/>
      <c r="H80" s="44" t="s">
        <v>16</v>
      </c>
      <c r="I80" s="45" t="s">
        <v>17</v>
      </c>
      <c r="J80" s="10"/>
      <c r="K80" s="27"/>
    </row>
    <row r="81" spans="1:11">
      <c r="A81" s="37" t="s">
        <v>77</v>
      </c>
      <c r="B81" s="20" t="s">
        <v>61</v>
      </c>
      <c r="C81" s="21">
        <v>300203</v>
      </c>
      <c r="D81" s="339"/>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29" t="s">
        <v>82</v>
      </c>
      <c r="K84" s="27"/>
    </row>
    <row r="85" spans="1:11" ht="31.5" customHeight="1">
      <c r="A85" s="38" t="s">
        <v>77</v>
      </c>
      <c r="B85" s="20" t="s">
        <v>63</v>
      </c>
      <c r="C85" s="21">
        <v>14725000</v>
      </c>
      <c r="D85" s="335"/>
      <c r="E85" s="46"/>
      <c r="F85" s="46"/>
      <c r="G85" s="46"/>
      <c r="H85" s="46"/>
      <c r="I85" s="46"/>
      <c r="J85" s="329"/>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A1:I1"/>
    <mergeCell ref="A2:I2"/>
    <mergeCell ref="H3:I3"/>
    <mergeCell ref="D6:D8"/>
    <mergeCell ref="A57:I57"/>
    <mergeCell ref="D60:D62"/>
    <mergeCell ref="D65:D67"/>
    <mergeCell ref="J65:J67"/>
    <mergeCell ref="D11:D13"/>
    <mergeCell ref="J11:J13"/>
    <mergeCell ref="D15:D19"/>
    <mergeCell ref="A56:I56"/>
    <mergeCell ref="D84:D85"/>
    <mergeCell ref="J84:J85"/>
    <mergeCell ref="D87:D91"/>
    <mergeCell ref="D69:D73"/>
    <mergeCell ref="A75:I75"/>
    <mergeCell ref="A76:I76"/>
    <mergeCell ref="D79:D81"/>
  </mergeCells>
  <phoneticPr fontId="4" type="noConversion"/>
  <pageMargins left="0.42" right="0.28000000000000003" top="0.42" bottom="0.36"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80" workbookViewId="0">
      <selection activeCell="A71"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108759632</v>
      </c>
      <c r="D5" s="10"/>
      <c r="E5" s="43"/>
      <c r="F5" s="43"/>
      <c r="G5" s="43"/>
      <c r="H5" s="43"/>
      <c r="I5" s="43"/>
      <c r="J5" s="29"/>
    </row>
    <row r="6" spans="1:12" s="33" customFormat="1" ht="31.5">
      <c r="A6" s="37" t="s">
        <v>77</v>
      </c>
      <c r="B6" s="31" t="s">
        <v>129</v>
      </c>
      <c r="C6" s="21">
        <f>29729000+73370000</f>
        <v>103099000</v>
      </c>
      <c r="D6" s="339" t="s">
        <v>35</v>
      </c>
      <c r="E6" s="44" t="s">
        <v>13</v>
      </c>
      <c r="F6" s="43"/>
      <c r="G6" s="45"/>
      <c r="H6" s="44" t="s">
        <v>16</v>
      </c>
      <c r="I6" s="45" t="s">
        <v>66</v>
      </c>
      <c r="J6" s="32"/>
    </row>
    <row r="7" spans="1:12" s="27" customFormat="1">
      <c r="A7" s="37" t="s">
        <v>77</v>
      </c>
      <c r="B7" s="20" t="s">
        <v>80</v>
      </c>
      <c r="C7" s="21">
        <v>5360429</v>
      </c>
      <c r="D7" s="339"/>
      <c r="E7" s="44" t="s">
        <v>13</v>
      </c>
      <c r="F7" s="46"/>
      <c r="G7" s="46"/>
      <c r="H7" s="44" t="s">
        <v>16</v>
      </c>
      <c r="I7" s="45" t="s">
        <v>17</v>
      </c>
      <c r="J7" s="10"/>
    </row>
    <row r="8" spans="1:12" s="27" customFormat="1">
      <c r="A8" s="37" t="s">
        <v>77</v>
      </c>
      <c r="B8" s="20" t="s">
        <v>61</v>
      </c>
      <c r="C8" s="21">
        <v>300203</v>
      </c>
      <c r="D8" s="339"/>
      <c r="E8" s="46"/>
      <c r="F8" s="46"/>
      <c r="G8" s="46"/>
      <c r="H8" s="46"/>
      <c r="I8" s="46"/>
      <c r="J8" s="10"/>
    </row>
    <row r="9" spans="1:12">
      <c r="A9" s="10" t="s">
        <v>60</v>
      </c>
      <c r="B9" s="26" t="s">
        <v>76</v>
      </c>
      <c r="C9" s="28">
        <f>+C10+C14</f>
        <v>1391240000</v>
      </c>
      <c r="D9" s="43"/>
      <c r="E9" s="43"/>
      <c r="F9" s="43"/>
      <c r="G9" s="43"/>
      <c r="H9" s="43"/>
      <c r="I9" s="43"/>
      <c r="J9" s="29"/>
    </row>
    <row r="10" spans="1:12" ht="31.5">
      <c r="A10" s="10" t="s">
        <v>78</v>
      </c>
      <c r="B10" s="26" t="s">
        <v>58</v>
      </c>
      <c r="C10" s="28">
        <f>SUM(C11:C13)</f>
        <v>77947000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29"/>
    </row>
    <row r="12" spans="1:12" s="27" customFormat="1" ht="31.5" customHeight="1">
      <c r="A12" s="38" t="s">
        <v>77</v>
      </c>
      <c r="B12" s="20" t="s">
        <v>158</v>
      </c>
      <c r="C12" s="21">
        <v>61222000</v>
      </c>
      <c r="D12" s="334"/>
      <c r="E12" s="46"/>
      <c r="F12" s="46"/>
      <c r="G12" s="46"/>
      <c r="H12" s="46"/>
      <c r="I12" s="46"/>
      <c r="J12" s="329"/>
    </row>
    <row r="13" spans="1:12" s="27" customFormat="1" ht="31.5" customHeight="1">
      <c r="A13" s="38" t="s">
        <v>77</v>
      </c>
      <c r="B13" s="20" t="s">
        <v>63</v>
      </c>
      <c r="C13" s="21">
        <v>14725000</v>
      </c>
      <c r="D13" s="335"/>
      <c r="E13" s="46"/>
      <c r="F13" s="46"/>
      <c r="G13" s="46"/>
      <c r="H13" s="46"/>
      <c r="I13" s="46"/>
      <c r="J13" s="329"/>
    </row>
    <row r="14" spans="1:12">
      <c r="A14" s="10" t="s">
        <v>81</v>
      </c>
      <c r="B14" s="26" t="s">
        <v>59</v>
      </c>
      <c r="C14" s="28">
        <f>ROUND(SUM(C15:C19),-3)</f>
        <v>1313293000</v>
      </c>
      <c r="D14" s="43"/>
      <c r="E14" s="43"/>
      <c r="F14" s="43"/>
      <c r="G14" s="43"/>
      <c r="H14" s="43"/>
      <c r="I14" s="43"/>
      <c r="J14" s="29"/>
    </row>
    <row r="15" spans="1:12" s="33" customFormat="1" ht="31.5">
      <c r="A15" s="37" t="s">
        <v>77</v>
      </c>
      <c r="B15" s="31" t="s">
        <v>40</v>
      </c>
      <c r="C15" s="21">
        <v>4335000</v>
      </c>
      <c r="D15" s="333" t="s">
        <v>35</v>
      </c>
      <c r="E15" s="44" t="s">
        <v>13</v>
      </c>
      <c r="F15" s="47"/>
      <c r="G15" s="45" t="s">
        <v>56</v>
      </c>
      <c r="H15" s="44" t="s">
        <v>16</v>
      </c>
      <c r="I15" s="45" t="s">
        <v>17</v>
      </c>
      <c r="J15" s="32"/>
    </row>
    <row r="16" spans="1:12" s="33" customFormat="1">
      <c r="A16" s="37" t="s">
        <v>77</v>
      </c>
      <c r="B16" s="31" t="s">
        <v>67</v>
      </c>
      <c r="C16" s="21">
        <v>37321000</v>
      </c>
      <c r="D16" s="334"/>
      <c r="E16" s="44" t="s">
        <v>13</v>
      </c>
      <c r="F16" s="47"/>
      <c r="G16" s="45" t="s">
        <v>56</v>
      </c>
      <c r="H16" s="44" t="s">
        <v>16</v>
      </c>
      <c r="I16" s="45" t="s">
        <v>46</v>
      </c>
      <c r="J16" s="34"/>
      <c r="K16" s="35"/>
      <c r="L16" s="35"/>
    </row>
    <row r="17" spans="1:12" s="33" customFormat="1" ht="45">
      <c r="A17" s="37" t="s">
        <v>77</v>
      </c>
      <c r="B17" s="31" t="s">
        <v>68</v>
      </c>
      <c r="C17" s="21">
        <f>1200813000+36024000</f>
        <v>1236837000</v>
      </c>
      <c r="D17" s="334"/>
      <c r="E17" s="44" t="s">
        <v>72</v>
      </c>
      <c r="F17" s="42" t="s">
        <v>14</v>
      </c>
      <c r="G17" s="45" t="s">
        <v>56</v>
      </c>
      <c r="H17" s="44" t="s">
        <v>16</v>
      </c>
      <c r="I17" s="116" t="s">
        <v>153</v>
      </c>
      <c r="J17" s="36" t="s">
        <v>204</v>
      </c>
      <c r="K17" s="35">
        <v>12122000</v>
      </c>
      <c r="L17" s="35" t="e">
        <f>+J17+K17</f>
        <v>#VALUE!</v>
      </c>
    </row>
    <row r="18" spans="1:12" ht="31.5">
      <c r="A18" s="37" t="s">
        <v>77</v>
      </c>
      <c r="B18" s="20" t="s">
        <v>69</v>
      </c>
      <c r="C18" s="23">
        <v>31197122</v>
      </c>
      <c r="D18" s="334"/>
      <c r="E18" s="47" t="s">
        <v>13</v>
      </c>
      <c r="F18" s="47"/>
      <c r="G18" s="42" t="s">
        <v>56</v>
      </c>
      <c r="H18" s="47" t="s">
        <v>16</v>
      </c>
      <c r="I18" s="42" t="s">
        <v>71</v>
      </c>
      <c r="J18" s="30"/>
      <c r="K18" s="24"/>
      <c r="L18" s="24"/>
    </row>
    <row r="19" spans="1:12">
      <c r="A19" s="37" t="s">
        <v>77</v>
      </c>
      <c r="B19" s="20" t="s">
        <v>70</v>
      </c>
      <c r="C19" s="23">
        <v>3602439</v>
      </c>
      <c r="D19" s="335"/>
      <c r="E19" s="47" t="s">
        <v>13</v>
      </c>
      <c r="F19" s="47"/>
      <c r="G19" s="42" t="s">
        <v>56</v>
      </c>
      <c r="H19" s="47" t="s">
        <v>16</v>
      </c>
      <c r="I19" s="42" t="s">
        <v>46</v>
      </c>
      <c r="J19" s="29"/>
    </row>
    <row r="20" spans="1:12">
      <c r="A20" s="10"/>
      <c r="B20" s="26" t="s">
        <v>64</v>
      </c>
      <c r="C20" s="28">
        <f>ROUND((C5+C9),-3)</f>
        <v>1500000000</v>
      </c>
      <c r="D20" s="43"/>
      <c r="E20" s="43"/>
      <c r="F20" s="43"/>
      <c r="G20" s="43"/>
      <c r="H20" s="43"/>
      <c r="I20" s="43"/>
      <c r="J20" s="29"/>
    </row>
    <row r="27" spans="1:12">
      <c r="C27" s="41">
        <f>665000/2</f>
        <v>332500</v>
      </c>
      <c r="D27" s="40"/>
    </row>
    <row r="28" spans="1:12">
      <c r="C28" s="99">
        <f>+C20+C27</f>
        <v>1500332500</v>
      </c>
      <c r="D28" s="100">
        <f>+C28-704000-682000</f>
        <v>1498946500</v>
      </c>
    </row>
    <row r="52" spans="1:11" ht="31.5" customHeight="1"/>
    <row r="53" spans="1:11" ht="50.25" customHeight="1"/>
    <row r="54" spans="1:11" ht="29.25" customHeight="1"/>
    <row r="55" spans="1:11" ht="32.25" hidden="1" customHeight="1"/>
    <row r="56" spans="1:11" ht="22.5" customHeight="1">
      <c r="A56" s="330" t="s">
        <v>27</v>
      </c>
      <c r="B56" s="330"/>
      <c r="C56" s="330"/>
      <c r="D56" s="330"/>
      <c r="E56" s="330"/>
      <c r="F56" s="330"/>
      <c r="G56" s="330"/>
      <c r="H56" s="330"/>
      <c r="I56" s="330"/>
    </row>
    <row r="57" spans="1:11" ht="16.5">
      <c r="A57" s="331" t="s">
        <v>210</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108759632</v>
      </c>
      <c r="D59" s="10"/>
      <c r="E59" s="43"/>
      <c r="F59" s="43"/>
      <c r="G59" s="43"/>
      <c r="H59" s="43"/>
      <c r="I59" s="43"/>
      <c r="J59" s="29"/>
    </row>
    <row r="60" spans="1:11" ht="47.25" customHeight="1">
      <c r="A60" s="37" t="s">
        <v>77</v>
      </c>
      <c r="B60" s="31" t="s">
        <v>129</v>
      </c>
      <c r="C60" s="21">
        <f>29729000+73370000</f>
        <v>103099000</v>
      </c>
      <c r="D60" s="339" t="s">
        <v>35</v>
      </c>
      <c r="E60" s="44" t="s">
        <v>13</v>
      </c>
      <c r="F60" s="43"/>
      <c r="G60" s="45"/>
      <c r="H60" s="44" t="s">
        <v>16</v>
      </c>
      <c r="I60" s="45" t="s">
        <v>66</v>
      </c>
      <c r="J60" s="32"/>
      <c r="K60" s="33"/>
    </row>
    <row r="61" spans="1:11">
      <c r="A61" s="37" t="s">
        <v>77</v>
      </c>
      <c r="B61" s="20" t="s">
        <v>80</v>
      </c>
      <c r="C61" s="21">
        <v>5360429</v>
      </c>
      <c r="D61" s="339"/>
      <c r="E61" s="44" t="s">
        <v>13</v>
      </c>
      <c r="F61" s="46"/>
      <c r="G61" s="46"/>
      <c r="H61" s="44" t="s">
        <v>16</v>
      </c>
      <c r="I61" s="45" t="s">
        <v>17</v>
      </c>
      <c r="J61" s="10"/>
      <c r="K61" s="27"/>
    </row>
    <row r="62" spans="1:11">
      <c r="A62" s="37" t="s">
        <v>77</v>
      </c>
      <c r="B62" s="20" t="s">
        <v>61</v>
      </c>
      <c r="C62" s="21">
        <v>300203</v>
      </c>
      <c r="D62" s="339"/>
      <c r="E62" s="46"/>
      <c r="F62" s="46"/>
      <c r="G62" s="46"/>
      <c r="H62" s="46"/>
      <c r="I62" s="46"/>
      <c r="J62" s="10"/>
      <c r="K62" s="27"/>
    </row>
    <row r="63" spans="1:11">
      <c r="A63" s="10" t="s">
        <v>60</v>
      </c>
      <c r="B63" s="26" t="s">
        <v>76</v>
      </c>
      <c r="C63" s="28">
        <f>+C64+C68</f>
        <v>1391240000</v>
      </c>
      <c r="D63" s="43"/>
      <c r="E63" s="43"/>
      <c r="F63" s="43"/>
      <c r="G63" s="43"/>
      <c r="H63" s="43"/>
      <c r="I63" s="43"/>
      <c r="J63" s="29"/>
    </row>
    <row r="64" spans="1:11" ht="15.75" customHeight="1">
      <c r="A64" s="10" t="s">
        <v>78</v>
      </c>
      <c r="B64" s="26" t="s">
        <v>58</v>
      </c>
      <c r="C64" s="28">
        <f>SUM(C65:C67)</f>
        <v>77947000</v>
      </c>
      <c r="D64" s="43"/>
      <c r="E64" s="43"/>
      <c r="F64" s="43"/>
      <c r="G64" s="43"/>
      <c r="H64" s="43"/>
      <c r="I64" s="43"/>
      <c r="J64" s="29"/>
    </row>
    <row r="65" spans="1:11" ht="31.5" customHeight="1">
      <c r="A65" s="38" t="s">
        <v>77</v>
      </c>
      <c r="B65" s="20" t="s">
        <v>79</v>
      </c>
      <c r="C65" s="21">
        <v>2000000</v>
      </c>
      <c r="D65" s="333" t="s">
        <v>35</v>
      </c>
      <c r="E65" s="46"/>
      <c r="F65" s="46"/>
      <c r="G65" s="46"/>
      <c r="H65" s="46"/>
      <c r="I65" s="46"/>
      <c r="J65" s="329"/>
      <c r="K65" s="27"/>
    </row>
    <row r="66" spans="1:11" ht="31.5" customHeight="1">
      <c r="A66" s="38" t="s">
        <v>77</v>
      </c>
      <c r="B66" s="20" t="s">
        <v>158</v>
      </c>
      <c r="C66" s="21">
        <v>61222000</v>
      </c>
      <c r="D66" s="334"/>
      <c r="E66" s="46"/>
      <c r="F66" s="46"/>
      <c r="G66" s="46"/>
      <c r="H66" s="46"/>
      <c r="I66" s="46"/>
      <c r="J66" s="329"/>
      <c r="K66" s="27"/>
    </row>
    <row r="67" spans="1:11" ht="31.5" customHeight="1">
      <c r="A67" s="38" t="s">
        <v>77</v>
      </c>
      <c r="B67" s="20" t="s">
        <v>63</v>
      </c>
      <c r="C67" s="21">
        <v>14725000</v>
      </c>
      <c r="D67" s="335"/>
      <c r="E67" s="46"/>
      <c r="F67" s="46"/>
      <c r="G67" s="46"/>
      <c r="H67" s="46"/>
      <c r="I67" s="46"/>
      <c r="J67" s="329"/>
    </row>
    <row r="68" spans="1:11" ht="31.5" customHeight="1">
      <c r="A68" s="10" t="s">
        <v>81</v>
      </c>
      <c r="B68" s="26" t="s">
        <v>59</v>
      </c>
      <c r="C68" s="28">
        <f>ROUND(SUM(C69:C73),-3)</f>
        <v>1313293000</v>
      </c>
      <c r="D68" s="43"/>
      <c r="E68" s="43"/>
      <c r="F68" s="43"/>
      <c r="G68" s="43"/>
      <c r="H68" s="43"/>
      <c r="I68" s="43"/>
      <c r="J68" s="29"/>
      <c r="K68" s="33"/>
    </row>
    <row r="69" spans="1:11" ht="31.5" customHeight="1">
      <c r="A69" s="37" t="s">
        <v>77</v>
      </c>
      <c r="B69" s="31" t="s">
        <v>40</v>
      </c>
      <c r="C69" s="21">
        <v>4335000</v>
      </c>
      <c r="D69" s="333" t="s">
        <v>35</v>
      </c>
      <c r="E69" s="44" t="s">
        <v>13</v>
      </c>
      <c r="F69" s="47"/>
      <c r="G69" s="45" t="s">
        <v>56</v>
      </c>
      <c r="H69" s="44" t="s">
        <v>16</v>
      </c>
      <c r="I69" s="45" t="s">
        <v>17</v>
      </c>
      <c r="J69" s="32"/>
      <c r="K69" s="35"/>
    </row>
    <row r="70" spans="1:11">
      <c r="A70" s="37" t="s">
        <v>77</v>
      </c>
      <c r="B70" s="31" t="s">
        <v>67</v>
      </c>
      <c r="C70" s="21">
        <v>37321000</v>
      </c>
      <c r="D70" s="334"/>
      <c r="E70" s="44" t="s">
        <v>13</v>
      </c>
      <c r="F70" s="47"/>
      <c r="G70" s="45" t="s">
        <v>56</v>
      </c>
      <c r="H70" s="44" t="s">
        <v>16</v>
      </c>
      <c r="I70" s="45" t="s">
        <v>46</v>
      </c>
      <c r="J70" s="34"/>
      <c r="K70" s="35">
        <v>12122000</v>
      </c>
    </row>
    <row r="71" spans="1:11" ht="45">
      <c r="A71" s="37" t="s">
        <v>77</v>
      </c>
      <c r="B71" s="31" t="s">
        <v>68</v>
      </c>
      <c r="C71" s="21">
        <f>1200813000+36024000</f>
        <v>1236837000</v>
      </c>
      <c r="D71" s="334"/>
      <c r="E71" s="44" t="s">
        <v>72</v>
      </c>
      <c r="F71" s="42" t="s">
        <v>14</v>
      </c>
      <c r="G71" s="45" t="s">
        <v>56</v>
      </c>
      <c r="H71" s="44" t="s">
        <v>16</v>
      </c>
      <c r="I71" s="116" t="s">
        <v>153</v>
      </c>
      <c r="J71" s="36" t="s">
        <v>204</v>
      </c>
      <c r="K71" s="24"/>
    </row>
    <row r="72" spans="1:11" ht="31.5">
      <c r="A72" s="37" t="s">
        <v>77</v>
      </c>
      <c r="B72" s="20" t="s">
        <v>69</v>
      </c>
      <c r="C72" s="23">
        <v>31197122</v>
      </c>
      <c r="D72" s="334"/>
      <c r="E72" s="47" t="s">
        <v>13</v>
      </c>
      <c r="F72" s="47"/>
      <c r="G72" s="42" t="s">
        <v>56</v>
      </c>
      <c r="H72" s="47" t="s">
        <v>16</v>
      </c>
      <c r="I72" s="42" t="s">
        <v>71</v>
      </c>
      <c r="J72" s="30"/>
    </row>
    <row r="73" spans="1:11">
      <c r="A73" s="37" t="s">
        <v>77</v>
      </c>
      <c r="B73" s="20" t="s">
        <v>70</v>
      </c>
      <c r="C73" s="23">
        <v>3602439</v>
      </c>
      <c r="D73" s="335"/>
      <c r="E73" s="47" t="s">
        <v>13</v>
      </c>
      <c r="F73" s="47"/>
      <c r="G73" s="42" t="s">
        <v>56</v>
      </c>
      <c r="H73" s="47" t="s">
        <v>16</v>
      </c>
      <c r="I73" s="42" t="s">
        <v>46</v>
      </c>
      <c r="J73" s="29"/>
    </row>
    <row r="74" spans="1:11">
      <c r="A74" s="10"/>
      <c r="B74" s="26" t="s">
        <v>64</v>
      </c>
      <c r="C74" s="28">
        <f>ROUND((C59+C63),-3)</f>
        <v>1500000000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39" t="s">
        <v>35</v>
      </c>
      <c r="E79" s="44" t="s">
        <v>13</v>
      </c>
      <c r="F79" s="43"/>
      <c r="G79" s="45"/>
      <c r="H79" s="44" t="s">
        <v>16</v>
      </c>
      <c r="I79" s="45" t="s">
        <v>66</v>
      </c>
      <c r="J79" s="32"/>
      <c r="K79" s="33"/>
    </row>
    <row r="80" spans="1:11">
      <c r="A80" s="37" t="s">
        <v>77</v>
      </c>
      <c r="B80" s="20" t="s">
        <v>80</v>
      </c>
      <c r="C80" s="21">
        <v>5360429</v>
      </c>
      <c r="D80" s="339"/>
      <c r="E80" s="44" t="s">
        <v>13</v>
      </c>
      <c r="F80" s="46"/>
      <c r="G80" s="46"/>
      <c r="H80" s="44" t="s">
        <v>16</v>
      </c>
      <c r="I80" s="45" t="s">
        <v>17</v>
      </c>
      <c r="J80" s="10"/>
      <c r="K80" s="27"/>
    </row>
    <row r="81" spans="1:11">
      <c r="A81" s="37" t="s">
        <v>77</v>
      </c>
      <c r="B81" s="20" t="s">
        <v>61</v>
      </c>
      <c r="C81" s="21">
        <v>300203</v>
      </c>
      <c r="D81" s="339"/>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29" t="s">
        <v>82</v>
      </c>
      <c r="K84" s="27"/>
    </row>
    <row r="85" spans="1:11" ht="31.5" customHeight="1">
      <c r="A85" s="38" t="s">
        <v>77</v>
      </c>
      <c r="B85" s="20" t="s">
        <v>63</v>
      </c>
      <c r="C85" s="21">
        <v>14725000</v>
      </c>
      <c r="D85" s="335"/>
      <c r="E85" s="46"/>
      <c r="F85" s="46"/>
      <c r="G85" s="46"/>
      <c r="H85" s="46"/>
      <c r="I85" s="46"/>
      <c r="J85" s="329"/>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D69:D73"/>
    <mergeCell ref="D84:D85"/>
    <mergeCell ref="J84:J85"/>
    <mergeCell ref="D87:D91"/>
    <mergeCell ref="A75:I75"/>
    <mergeCell ref="A76:I76"/>
    <mergeCell ref="D79:D81"/>
    <mergeCell ref="J65:J67"/>
    <mergeCell ref="A1:I1"/>
    <mergeCell ref="A2:I2"/>
    <mergeCell ref="H3:I3"/>
    <mergeCell ref="D6:D8"/>
    <mergeCell ref="D11:D13"/>
    <mergeCell ref="J11:J13"/>
    <mergeCell ref="D15:D19"/>
    <mergeCell ref="A56:I56"/>
    <mergeCell ref="A57:I57"/>
    <mergeCell ref="D60:D62"/>
    <mergeCell ref="D65:D67"/>
  </mergeCells>
  <phoneticPr fontId="4" type="noConversion"/>
  <pageMargins left="0.38" right="0.34" top="0.47" bottom="0.26"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8" workbookViewId="0">
      <selection activeCell="D29" sqref="D29"/>
    </sheetView>
  </sheetViews>
  <sheetFormatPr defaultColWidth="9" defaultRowHeight="15.75"/>
  <cols>
    <col min="1" max="1" width="5.88671875" style="93" customWidth="1"/>
    <col min="2" max="2" width="37"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2" t="s">
        <v>84</v>
      </c>
      <c r="B1" s="353"/>
      <c r="C1" s="353"/>
      <c r="D1" s="353"/>
      <c r="E1" s="353"/>
    </row>
    <row r="2" spans="1:6" ht="15.75" customHeight="1">
      <c r="A2" s="354" t="s">
        <v>85</v>
      </c>
      <c r="B2" s="355"/>
      <c r="C2" s="355"/>
      <c r="D2" s="355"/>
      <c r="E2" s="355"/>
    </row>
    <row r="3" spans="1:6" ht="6" customHeight="1">
      <c r="A3" s="356"/>
      <c r="B3" s="357"/>
      <c r="C3" s="357"/>
      <c r="D3" s="357"/>
      <c r="E3" s="357"/>
    </row>
    <row r="4" spans="1:6" ht="20.25" customHeight="1">
      <c r="A4" s="358" t="s">
        <v>86</v>
      </c>
      <c r="B4" s="359"/>
      <c r="C4" s="359"/>
      <c r="D4" s="359"/>
      <c r="E4" s="359"/>
    </row>
    <row r="5" spans="1:6" ht="6" customHeight="1">
      <c r="A5" s="49"/>
      <c r="B5" s="52"/>
      <c r="C5" s="49"/>
      <c r="D5" s="49"/>
      <c r="E5" s="53"/>
    </row>
    <row r="6" spans="1:6" s="54" customFormat="1" ht="17.25" customHeight="1">
      <c r="A6" s="360" t="s">
        <v>209</v>
      </c>
      <c r="B6" s="360"/>
      <c r="C6" s="360"/>
      <c r="D6" s="360"/>
      <c r="E6" s="360"/>
    </row>
    <row r="7" spans="1:6" s="54" customFormat="1" ht="1.5" hidden="1" customHeight="1">
      <c r="A7" s="361" t="s">
        <v>87</v>
      </c>
      <c r="B7" s="361"/>
      <c r="C7" s="361"/>
      <c r="D7" s="361"/>
      <c r="E7" s="361"/>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1200813000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37321000</v>
      </c>
    </row>
    <row r="16" spans="1:6">
      <c r="A16" s="70">
        <v>3</v>
      </c>
      <c r="B16" s="71" t="s">
        <v>97</v>
      </c>
      <c r="C16" s="72" t="s">
        <v>96</v>
      </c>
      <c r="D16" s="72" t="s">
        <v>149</v>
      </c>
      <c r="E16" s="73">
        <f>ROUND(SUM(E17:E21),-3)</f>
        <v>143992000</v>
      </c>
    </row>
    <row r="17" spans="1:8">
      <c r="A17" s="97" t="s">
        <v>77</v>
      </c>
      <c r="B17" s="74" t="s">
        <v>208</v>
      </c>
      <c r="C17" s="75" t="s">
        <v>99</v>
      </c>
      <c r="D17" s="66" t="s">
        <v>126</v>
      </c>
      <c r="E17" s="76">
        <v>29729000</v>
      </c>
    </row>
    <row r="18" spans="1:8">
      <c r="A18" s="97" t="s">
        <v>77</v>
      </c>
      <c r="B18" s="74" t="s">
        <v>152</v>
      </c>
      <c r="C18" s="75" t="s">
        <v>100</v>
      </c>
      <c r="D18" s="66" t="s">
        <v>126</v>
      </c>
      <c r="E18" s="76">
        <v>73370000</v>
      </c>
    </row>
    <row r="19" spans="1:8">
      <c r="A19" s="97" t="s">
        <v>77</v>
      </c>
      <c r="B19" s="79" t="s">
        <v>132</v>
      </c>
      <c r="C19" s="75" t="s">
        <v>100</v>
      </c>
      <c r="D19" s="66" t="s">
        <v>126</v>
      </c>
      <c r="E19" s="78">
        <v>5360429</v>
      </c>
      <c r="G19" s="82"/>
      <c r="H19" s="83"/>
    </row>
    <row r="20" spans="1:8" ht="17.100000000000001" customHeight="1">
      <c r="A20" s="97" t="s">
        <v>77</v>
      </c>
      <c r="B20" s="79" t="s">
        <v>104</v>
      </c>
      <c r="C20" s="75" t="s">
        <v>101</v>
      </c>
      <c r="D20" s="66" t="s">
        <v>126</v>
      </c>
      <c r="E20" s="78">
        <f>1951000+2384000</f>
        <v>4335000</v>
      </c>
    </row>
    <row r="21" spans="1:8" ht="17.100000000000001" customHeight="1">
      <c r="A21" s="97" t="s">
        <v>77</v>
      </c>
      <c r="B21" s="79" t="s">
        <v>105</v>
      </c>
      <c r="C21" s="75" t="s">
        <v>102</v>
      </c>
      <c r="D21" s="66" t="s">
        <v>126</v>
      </c>
      <c r="E21" s="78">
        <v>31197122</v>
      </c>
    </row>
    <row r="22" spans="1:8">
      <c r="A22" s="84" t="s">
        <v>124</v>
      </c>
      <c r="B22" s="71" t="s">
        <v>106</v>
      </c>
      <c r="C22" s="72" t="s">
        <v>98</v>
      </c>
      <c r="D22" s="72" t="s">
        <v>150</v>
      </c>
      <c r="E22" s="73">
        <f>ROUND(SUM(E23:E27),-3)</f>
        <v>56652000</v>
      </c>
    </row>
    <row r="23" spans="1:8" ht="17.100000000000001" customHeight="1">
      <c r="A23" s="98" t="s">
        <v>77</v>
      </c>
      <c r="B23" s="86" t="s">
        <v>108</v>
      </c>
      <c r="C23" s="87" t="s">
        <v>109</v>
      </c>
      <c r="D23" s="66" t="s">
        <v>126</v>
      </c>
      <c r="E23" s="78">
        <v>36024000</v>
      </c>
    </row>
    <row r="24" spans="1:8" ht="17.100000000000001" customHeight="1">
      <c r="A24" s="98" t="s">
        <v>77</v>
      </c>
      <c r="B24" s="79" t="s">
        <v>133</v>
      </c>
      <c r="C24" s="87" t="s">
        <v>110</v>
      </c>
      <c r="D24" s="66" t="s">
        <v>126</v>
      </c>
      <c r="E24" s="78">
        <v>300203</v>
      </c>
    </row>
    <row r="25" spans="1:8" ht="17.100000000000001" customHeight="1">
      <c r="A25" s="98" t="s">
        <v>77</v>
      </c>
      <c r="B25" s="79" t="s">
        <v>145</v>
      </c>
      <c r="C25" s="87" t="s">
        <v>111</v>
      </c>
      <c r="D25" s="66" t="s">
        <v>126</v>
      </c>
      <c r="E25" s="78">
        <v>2000000</v>
      </c>
    </row>
    <row r="26" spans="1:8" ht="17.100000000000001" customHeight="1">
      <c r="A26" s="98" t="s">
        <v>77</v>
      </c>
      <c r="B26" s="79" t="s">
        <v>116</v>
      </c>
      <c r="C26" s="87" t="s">
        <v>113</v>
      </c>
      <c r="D26" s="66" t="s">
        <v>126</v>
      </c>
      <c r="E26" s="78">
        <v>14725000</v>
      </c>
    </row>
    <row r="27" spans="1:8" ht="17.100000000000001" customHeight="1">
      <c r="A27" s="98" t="s">
        <v>77</v>
      </c>
      <c r="B27" s="79" t="s">
        <v>118</v>
      </c>
      <c r="C27" s="87" t="s">
        <v>115</v>
      </c>
      <c r="D27" s="66" t="s">
        <v>126</v>
      </c>
      <c r="E27" s="78">
        <v>3602439</v>
      </c>
    </row>
    <row r="28" spans="1:8">
      <c r="A28" s="70">
        <v>5</v>
      </c>
      <c r="B28" s="71" t="s">
        <v>119</v>
      </c>
      <c r="C28" s="72" t="s">
        <v>107</v>
      </c>
      <c r="D28" s="72" t="s">
        <v>120</v>
      </c>
      <c r="E28" s="73">
        <f>+E29</f>
        <v>61222000</v>
      </c>
    </row>
    <row r="29" spans="1:8" ht="17.100000000000001" customHeight="1">
      <c r="A29" s="85" t="s">
        <v>121</v>
      </c>
      <c r="B29" s="79" t="s">
        <v>122</v>
      </c>
      <c r="C29" s="77" t="s">
        <v>120</v>
      </c>
      <c r="D29" s="66"/>
      <c r="E29" s="78">
        <v>61222000</v>
      </c>
      <c r="F29" s="63">
        <f>1500000000-E30</f>
        <v>0</v>
      </c>
    </row>
    <row r="30" spans="1:8" ht="18.75" customHeight="1">
      <c r="A30" s="88"/>
      <c r="B30" s="71" t="s">
        <v>125</v>
      </c>
      <c r="C30" s="72" t="s">
        <v>123</v>
      </c>
      <c r="D30" s="72" t="s">
        <v>136</v>
      </c>
      <c r="E30" s="73">
        <f>+E10+E15+E16+E22+E28</f>
        <v>1500000000</v>
      </c>
      <c r="F30" s="63"/>
    </row>
    <row r="31" spans="1:8" ht="9.75" customHeight="1" thickBot="1">
      <c r="A31" s="89" t="s">
        <v>121</v>
      </c>
      <c r="B31" s="90" t="s">
        <v>121</v>
      </c>
      <c r="C31" s="91" t="s">
        <v>121</v>
      </c>
      <c r="D31" s="91" t="s">
        <v>121</v>
      </c>
      <c r="E31" s="92"/>
    </row>
    <row r="32" spans="1:8" ht="10.5" customHeight="1"/>
    <row r="33" spans="1:5" ht="18.75">
      <c r="A33" s="110"/>
      <c r="B33" s="110"/>
      <c r="C33" s="110"/>
      <c r="D33" s="344" t="s">
        <v>148</v>
      </c>
      <c r="E33" s="345"/>
    </row>
    <row r="34" spans="1:5" ht="18.75">
      <c r="A34" s="110"/>
      <c r="B34" s="111"/>
      <c r="C34" s="344"/>
      <c r="D34" s="344"/>
      <c r="E34" s="344"/>
    </row>
    <row r="35" spans="1:5" ht="18.75">
      <c r="A35" s="112"/>
      <c r="B35" s="113"/>
      <c r="C35" s="110"/>
      <c r="D35" s="344"/>
      <c r="E35" s="345"/>
    </row>
    <row r="36" spans="1:5" ht="6.75" customHeight="1">
      <c r="A36" s="110"/>
      <c r="B36" s="110"/>
      <c r="C36" s="110"/>
      <c r="D36" s="113"/>
      <c r="E36" s="114"/>
    </row>
    <row r="37" spans="1:5" ht="20.25" customHeight="1">
      <c r="A37" s="110"/>
      <c r="B37" s="110"/>
      <c r="C37" s="110"/>
      <c r="D37" s="113"/>
      <c r="E37" s="114"/>
    </row>
    <row r="38" spans="1:5" ht="14.25" customHeight="1">
      <c r="A38" s="110"/>
      <c r="B38" s="110"/>
      <c r="C38" s="110"/>
      <c r="D38" s="113"/>
      <c r="E38" s="114"/>
    </row>
    <row r="39" spans="1:5" ht="18.75">
      <c r="A39" s="344"/>
      <c r="B39" s="344"/>
      <c r="C39" s="344"/>
      <c r="D39" s="344" t="s">
        <v>147</v>
      </c>
      <c r="E39" s="345"/>
    </row>
    <row r="40" spans="1:5" ht="33" customHeight="1">
      <c r="A40" s="351"/>
      <c r="B40" s="351"/>
      <c r="C40" s="351"/>
      <c r="D40" s="352"/>
      <c r="E40" s="353"/>
    </row>
  </sheetData>
  <mergeCells count="13">
    <mergeCell ref="A40:C40"/>
    <mergeCell ref="D40:E40"/>
    <mergeCell ref="A1:E1"/>
    <mergeCell ref="A2:E2"/>
    <mergeCell ref="A3:E3"/>
    <mergeCell ref="A4:E4"/>
    <mergeCell ref="A6:E6"/>
    <mergeCell ref="A7:E7"/>
    <mergeCell ref="D33:E33"/>
    <mergeCell ref="C34:E34"/>
    <mergeCell ref="D35:E35"/>
    <mergeCell ref="A39:C39"/>
    <mergeCell ref="D39:E39"/>
  </mergeCells>
  <phoneticPr fontId="4" type="noConversion"/>
  <pageMargins left="0.54" right="0.31" top="0.48"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62" workbookViewId="0">
      <selection activeCell="C54" sqref="C54"/>
    </sheetView>
  </sheetViews>
  <sheetFormatPr defaultColWidth="9" defaultRowHeight="15.75"/>
  <cols>
    <col min="1" max="1" width="4.109375" style="1" customWidth="1"/>
    <col min="2" max="2" width="33.88671875" style="1" customWidth="1"/>
    <col min="3" max="3" width="11.77734375" style="1" customWidth="1"/>
    <col min="4" max="5" width="11.21875" style="1" customWidth="1"/>
    <col min="6" max="6" width="8.21875" style="1" customWidth="1"/>
    <col min="7" max="7" width="12.21875" style="1" customWidth="1"/>
    <col min="8" max="8" width="8.109375" style="1" customWidth="1"/>
    <col min="9" max="9" width="9.44140625" style="1" customWidth="1"/>
    <col min="10" max="10" width="13.77734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43564000</v>
      </c>
      <c r="D5" s="10"/>
      <c r="E5" s="43"/>
      <c r="F5" s="43"/>
      <c r="G5" s="43"/>
      <c r="H5" s="43"/>
      <c r="I5" s="43"/>
      <c r="J5" s="29"/>
    </row>
    <row r="6" spans="1:12" s="33" customFormat="1" ht="31.5">
      <c r="A6" s="37" t="s">
        <v>77</v>
      </c>
      <c r="B6" s="31" t="s">
        <v>155</v>
      </c>
      <c r="C6" s="21">
        <f>7168000+33734000</f>
        <v>40902000</v>
      </c>
      <c r="D6" s="339" t="s">
        <v>35</v>
      </c>
      <c r="E6" s="44" t="s">
        <v>13</v>
      </c>
      <c r="F6" s="43"/>
      <c r="G6" s="45"/>
      <c r="H6" s="44" t="s">
        <v>16</v>
      </c>
      <c r="I6" s="45" t="s">
        <v>66</v>
      </c>
      <c r="J6" s="32"/>
    </row>
    <row r="7" spans="1:12" s="27" customFormat="1" ht="31.5">
      <c r="A7" s="37" t="s">
        <v>77</v>
      </c>
      <c r="B7" s="20" t="s">
        <v>80</v>
      </c>
      <c r="C7" s="21">
        <v>2519000</v>
      </c>
      <c r="D7" s="339"/>
      <c r="E7" s="44" t="s">
        <v>13</v>
      </c>
      <c r="F7" s="46"/>
      <c r="G7" s="46"/>
      <c r="H7" s="44" t="s">
        <v>16</v>
      </c>
      <c r="I7" s="45" t="s">
        <v>17</v>
      </c>
      <c r="J7" s="10"/>
    </row>
    <row r="8" spans="1:12" s="27" customFormat="1">
      <c r="A8" s="37" t="s">
        <v>77</v>
      </c>
      <c r="B8" s="20" t="s">
        <v>61</v>
      </c>
      <c r="C8" s="21">
        <v>143000</v>
      </c>
      <c r="D8" s="339"/>
      <c r="E8" s="46"/>
      <c r="F8" s="46"/>
      <c r="G8" s="46"/>
      <c r="H8" s="46"/>
      <c r="I8" s="46"/>
      <c r="J8" s="10"/>
    </row>
    <row r="9" spans="1:12">
      <c r="A9" s="10" t="s">
        <v>60</v>
      </c>
      <c r="B9" s="26" t="s">
        <v>76</v>
      </c>
      <c r="C9" s="28">
        <f>+C10+C14</f>
        <v>706436000</v>
      </c>
      <c r="D9" s="43"/>
      <c r="E9" s="43"/>
      <c r="F9" s="43"/>
      <c r="G9" s="43"/>
      <c r="H9" s="43"/>
      <c r="I9" s="43"/>
      <c r="J9" s="29"/>
    </row>
    <row r="10" spans="1:12" ht="31.5">
      <c r="A10" s="10" t="s">
        <v>78</v>
      </c>
      <c r="B10" s="26" t="s">
        <v>58</v>
      </c>
      <c r="C10" s="28">
        <f>SUM(C11:C13)</f>
        <v>35400000</v>
      </c>
      <c r="D10" s="43"/>
      <c r="E10" s="43"/>
      <c r="F10" s="43"/>
      <c r="G10" s="43"/>
      <c r="H10" s="43"/>
      <c r="I10" s="43"/>
      <c r="J10" s="29"/>
    </row>
    <row r="11" spans="1:12" s="27" customFormat="1" ht="31.5" customHeight="1">
      <c r="A11" s="38" t="s">
        <v>77</v>
      </c>
      <c r="B11" s="20" t="s">
        <v>142</v>
      </c>
      <c r="C11" s="21">
        <v>16674000</v>
      </c>
      <c r="D11" s="333" t="s">
        <v>35</v>
      </c>
      <c r="E11" s="46"/>
      <c r="F11" s="46"/>
      <c r="G11" s="46"/>
      <c r="H11" s="46"/>
      <c r="I11" s="46"/>
      <c r="J11" s="329" t="s">
        <v>82</v>
      </c>
    </row>
    <row r="12" spans="1:12" s="27" customFormat="1" ht="31.5" customHeight="1">
      <c r="A12" s="38" t="s">
        <v>77</v>
      </c>
      <c r="B12" s="20" t="s">
        <v>63</v>
      </c>
      <c r="C12" s="21">
        <v>7125000</v>
      </c>
      <c r="D12" s="334"/>
      <c r="E12" s="46"/>
      <c r="F12" s="46"/>
      <c r="G12" s="46"/>
      <c r="H12" s="46"/>
      <c r="I12" s="46"/>
      <c r="J12" s="329"/>
    </row>
    <row r="13" spans="1:12" s="27" customFormat="1" ht="31.5" customHeight="1">
      <c r="A13" s="38" t="s">
        <v>77</v>
      </c>
      <c r="B13" s="20" t="s">
        <v>158</v>
      </c>
      <c r="C13" s="21">
        <v>11601000</v>
      </c>
      <c r="D13" s="335"/>
      <c r="E13" s="46"/>
      <c r="F13" s="46"/>
      <c r="G13" s="46"/>
      <c r="H13" s="46"/>
      <c r="I13" s="46"/>
      <c r="J13" s="152"/>
    </row>
    <row r="14" spans="1:12">
      <c r="A14" s="10" t="s">
        <v>81</v>
      </c>
      <c r="B14" s="26" t="s">
        <v>59</v>
      </c>
      <c r="C14" s="28">
        <f>ROUND(SUM(C15:C19),-3)</f>
        <v>671036000</v>
      </c>
      <c r="D14" s="10"/>
      <c r="E14" s="10"/>
      <c r="F14" s="10"/>
      <c r="G14" s="10"/>
      <c r="H14" s="10"/>
      <c r="I14" s="10"/>
      <c r="J14" s="29"/>
    </row>
    <row r="15" spans="1:12" s="109" customFormat="1" ht="5.25" hidden="1">
      <c r="A15" s="101" t="s">
        <v>77</v>
      </c>
      <c r="B15" s="102" t="s">
        <v>202</v>
      </c>
      <c r="C15" s="103">
        <v>0</v>
      </c>
      <c r="D15" s="333" t="s">
        <v>35</v>
      </c>
      <c r="E15" s="104" t="s">
        <v>13</v>
      </c>
      <c r="F15" s="105"/>
      <c r="G15" s="106" t="s">
        <v>56</v>
      </c>
      <c r="H15" s="104" t="s">
        <v>16</v>
      </c>
      <c r="I15" s="106" t="s">
        <v>17</v>
      </c>
      <c r="J15" s="117"/>
    </row>
    <row r="16" spans="1:12" s="109" customFormat="1" ht="5.25" hidden="1">
      <c r="A16" s="101" t="s">
        <v>77</v>
      </c>
      <c r="B16" s="102" t="s">
        <v>203</v>
      </c>
      <c r="C16" s="103">
        <v>0</v>
      </c>
      <c r="D16" s="334"/>
      <c r="E16" s="104" t="s">
        <v>13</v>
      </c>
      <c r="F16" s="105"/>
      <c r="G16" s="106" t="s">
        <v>56</v>
      </c>
      <c r="H16" s="104" t="s">
        <v>16</v>
      </c>
      <c r="I16" s="106" t="s">
        <v>17</v>
      </c>
      <c r="J16" s="107"/>
      <c r="K16" s="108"/>
      <c r="L16" s="108"/>
    </row>
    <row r="17" spans="1:12" s="33" customFormat="1" ht="47.25">
      <c r="A17" s="37" t="s">
        <v>77</v>
      </c>
      <c r="B17" s="31" t="s">
        <v>32</v>
      </c>
      <c r="C17" s="21">
        <f>624696000+24988000</f>
        <v>649684000</v>
      </c>
      <c r="D17" s="334"/>
      <c r="E17" s="118" t="s">
        <v>13</v>
      </c>
      <c r="F17" s="19" t="s">
        <v>14</v>
      </c>
      <c r="G17" s="119" t="s">
        <v>56</v>
      </c>
      <c r="H17" s="118" t="s">
        <v>16</v>
      </c>
      <c r="I17" s="120" t="s">
        <v>157</v>
      </c>
      <c r="J17" s="121" t="s">
        <v>204</v>
      </c>
      <c r="K17" s="35">
        <v>12122000</v>
      </c>
      <c r="L17" s="35" t="e">
        <f>+J17+K17</f>
        <v>#VALUE!</v>
      </c>
    </row>
    <row r="18" spans="1:12" ht="31.5">
      <c r="A18" s="37" t="s">
        <v>77</v>
      </c>
      <c r="B18" s="20" t="s">
        <v>33</v>
      </c>
      <c r="C18" s="23">
        <v>20009000</v>
      </c>
      <c r="D18" s="334"/>
      <c r="E18" s="47" t="s">
        <v>13</v>
      </c>
      <c r="F18" s="47"/>
      <c r="G18" s="42" t="s">
        <v>56</v>
      </c>
      <c r="H18" s="47" t="s">
        <v>16</v>
      </c>
      <c r="I18" s="42" t="s">
        <v>156</v>
      </c>
      <c r="J18" s="30"/>
      <c r="K18" s="24"/>
      <c r="L18" s="24"/>
    </row>
    <row r="19" spans="1:12" ht="30">
      <c r="A19" s="37" t="s">
        <v>77</v>
      </c>
      <c r="B19" s="20" t="s">
        <v>34</v>
      </c>
      <c r="C19" s="23">
        <v>1343000</v>
      </c>
      <c r="D19" s="335"/>
      <c r="E19" s="47" t="s">
        <v>13</v>
      </c>
      <c r="F19" s="47"/>
      <c r="G19" s="42" t="s">
        <v>56</v>
      </c>
      <c r="H19" s="47" t="s">
        <v>16</v>
      </c>
      <c r="I19" s="42" t="s">
        <v>46</v>
      </c>
      <c r="J19" s="29"/>
    </row>
    <row r="20" spans="1:12">
      <c r="A20" s="10"/>
      <c r="B20" s="26" t="s">
        <v>64</v>
      </c>
      <c r="C20" s="28">
        <f>ROUND((C5+C9),-3)</f>
        <v>750000000</v>
      </c>
      <c r="D20" s="43"/>
      <c r="E20" s="43"/>
      <c r="F20" s="43"/>
      <c r="G20" s="43"/>
      <c r="H20" s="43"/>
      <c r="I20" s="43"/>
      <c r="J20" s="29"/>
    </row>
    <row r="27" spans="1:12">
      <c r="C27" s="41">
        <f>665000/2</f>
        <v>332500</v>
      </c>
      <c r="D27" s="40"/>
    </row>
    <row r="28" spans="1:12">
      <c r="C28" s="99">
        <f>+C20-C13</f>
        <v>738399000</v>
      </c>
      <c r="D28" s="100">
        <f>+C28*0.9</f>
        <v>664559100</v>
      </c>
    </row>
    <row r="52" spans="1:10" ht="31.5" customHeight="1"/>
    <row r="53" spans="1:10" ht="57.75" customHeight="1"/>
    <row r="54" spans="1:10" ht="83.25" customHeight="1"/>
    <row r="55" spans="1:10" ht="32.25" hidden="1" customHeight="1"/>
    <row r="56" spans="1:10" ht="16.5">
      <c r="A56" s="330" t="s">
        <v>27</v>
      </c>
      <c r="B56" s="330"/>
      <c r="C56" s="330"/>
      <c r="D56" s="330"/>
      <c r="E56" s="330"/>
      <c r="F56" s="330"/>
      <c r="G56" s="330"/>
      <c r="H56" s="330"/>
      <c r="I56" s="330"/>
    </row>
    <row r="57" spans="1:10" ht="16.5">
      <c r="A57" s="331" t="s">
        <v>207</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43564000</v>
      </c>
      <c r="D59" s="10"/>
      <c r="E59" s="43"/>
      <c r="F59" s="43"/>
      <c r="G59" s="43"/>
      <c r="H59" s="43"/>
      <c r="I59" s="43"/>
      <c r="J59" s="29"/>
    </row>
    <row r="60" spans="1:10" ht="47.25" customHeight="1">
      <c r="A60" s="37" t="s">
        <v>77</v>
      </c>
      <c r="B60" s="31" t="s">
        <v>155</v>
      </c>
      <c r="C60" s="21">
        <f>7168000+33734000</f>
        <v>40902000</v>
      </c>
      <c r="D60" s="339" t="s">
        <v>35</v>
      </c>
      <c r="E60" s="44" t="s">
        <v>13</v>
      </c>
      <c r="F60" s="43"/>
      <c r="G60" s="45"/>
      <c r="H60" s="44" t="s">
        <v>16</v>
      </c>
      <c r="I60" s="45" t="s">
        <v>66</v>
      </c>
      <c r="J60" s="32"/>
    </row>
    <row r="61" spans="1:10" ht="31.5">
      <c r="A61" s="37" t="s">
        <v>77</v>
      </c>
      <c r="B61" s="20" t="s">
        <v>80</v>
      </c>
      <c r="C61" s="21">
        <v>2519000</v>
      </c>
      <c r="D61" s="339"/>
      <c r="E61" s="44" t="s">
        <v>13</v>
      </c>
      <c r="F61" s="46"/>
      <c r="G61" s="46"/>
      <c r="H61" s="44" t="s">
        <v>16</v>
      </c>
      <c r="I61" s="45" t="s">
        <v>17</v>
      </c>
      <c r="J61" s="10"/>
    </row>
    <row r="62" spans="1:10">
      <c r="A62" s="37" t="s">
        <v>77</v>
      </c>
      <c r="B62" s="20" t="s">
        <v>61</v>
      </c>
      <c r="C62" s="21">
        <v>143000</v>
      </c>
      <c r="D62" s="339"/>
      <c r="E62" s="46"/>
      <c r="F62" s="46"/>
      <c r="G62" s="46"/>
      <c r="H62" s="46"/>
      <c r="I62" s="46"/>
      <c r="J62" s="10"/>
    </row>
    <row r="63" spans="1:10">
      <c r="A63" s="10" t="s">
        <v>60</v>
      </c>
      <c r="B63" s="26" t="s">
        <v>76</v>
      </c>
      <c r="C63" s="28">
        <f>+C64+C68</f>
        <v>706436000</v>
      </c>
      <c r="D63" s="43"/>
      <c r="E63" s="43"/>
      <c r="F63" s="43"/>
      <c r="G63" s="43"/>
      <c r="H63" s="43"/>
      <c r="I63" s="43"/>
      <c r="J63" s="29"/>
    </row>
    <row r="64" spans="1:10" ht="31.5">
      <c r="A64" s="10" t="s">
        <v>78</v>
      </c>
      <c r="B64" s="26" t="s">
        <v>58</v>
      </c>
      <c r="C64" s="28">
        <f>SUM(C65:C67)</f>
        <v>35400000</v>
      </c>
      <c r="D64" s="43"/>
      <c r="E64" s="43"/>
      <c r="F64" s="43"/>
      <c r="G64" s="43"/>
      <c r="H64" s="43"/>
      <c r="I64" s="43"/>
      <c r="J64" s="29"/>
    </row>
    <row r="65" spans="1:10" ht="31.5" customHeight="1">
      <c r="A65" s="38" t="s">
        <v>77</v>
      </c>
      <c r="B65" s="20" t="s">
        <v>142</v>
      </c>
      <c r="C65" s="21">
        <v>16674000</v>
      </c>
      <c r="D65" s="333" t="s">
        <v>35</v>
      </c>
      <c r="E65" s="46"/>
      <c r="F65" s="46"/>
      <c r="G65" s="46"/>
      <c r="H65" s="46"/>
      <c r="I65" s="46"/>
      <c r="J65" s="329" t="s">
        <v>82</v>
      </c>
    </row>
    <row r="66" spans="1:10" ht="31.5" customHeight="1">
      <c r="A66" s="38" t="s">
        <v>77</v>
      </c>
      <c r="B66" s="20" t="s">
        <v>63</v>
      </c>
      <c r="C66" s="21">
        <v>7125000</v>
      </c>
      <c r="D66" s="334"/>
      <c r="E66" s="46"/>
      <c r="F66" s="46"/>
      <c r="G66" s="46"/>
      <c r="H66" s="46"/>
      <c r="I66" s="46"/>
      <c r="J66" s="329"/>
    </row>
    <row r="67" spans="1:10" ht="31.5" customHeight="1">
      <c r="A67" s="38" t="s">
        <v>77</v>
      </c>
      <c r="B67" s="20" t="s">
        <v>158</v>
      </c>
      <c r="C67" s="21">
        <v>11601000</v>
      </c>
      <c r="D67" s="335"/>
      <c r="E67" s="46"/>
      <c r="F67" s="46"/>
      <c r="G67" s="46"/>
      <c r="H67" s="46"/>
      <c r="I67" s="46"/>
      <c r="J67" s="152"/>
    </row>
    <row r="68" spans="1:10" ht="31.5" customHeight="1">
      <c r="A68" s="10" t="s">
        <v>81</v>
      </c>
      <c r="B68" s="26" t="s">
        <v>59</v>
      </c>
      <c r="C68" s="28">
        <f>ROUND(SUM(C69:C73),-3)</f>
        <v>671036000</v>
      </c>
      <c r="D68" s="10"/>
      <c r="E68" s="10"/>
      <c r="F68" s="10"/>
      <c r="G68" s="10"/>
      <c r="H68" s="10"/>
      <c r="I68" s="10"/>
      <c r="J68" s="29"/>
    </row>
    <row r="69" spans="1:10" ht="31.5" hidden="1" customHeight="1">
      <c r="A69" s="101" t="s">
        <v>77</v>
      </c>
      <c r="B69" s="102" t="s">
        <v>202</v>
      </c>
      <c r="C69" s="103">
        <v>0</v>
      </c>
      <c r="D69" s="333" t="s">
        <v>35</v>
      </c>
      <c r="E69" s="104" t="s">
        <v>13</v>
      </c>
      <c r="F69" s="105"/>
      <c r="G69" s="106" t="s">
        <v>56</v>
      </c>
      <c r="H69" s="104" t="s">
        <v>16</v>
      </c>
      <c r="I69" s="106" t="s">
        <v>17</v>
      </c>
      <c r="J69" s="117"/>
    </row>
    <row r="70" spans="1:10" hidden="1">
      <c r="A70" s="101" t="s">
        <v>77</v>
      </c>
      <c r="B70" s="102" t="s">
        <v>203</v>
      </c>
      <c r="C70" s="103">
        <v>0</v>
      </c>
      <c r="D70" s="334"/>
      <c r="E70" s="104" t="s">
        <v>13</v>
      </c>
      <c r="F70" s="105"/>
      <c r="G70" s="106" t="s">
        <v>56</v>
      </c>
      <c r="H70" s="104" t="s">
        <v>16</v>
      </c>
      <c r="I70" s="106" t="s">
        <v>17</v>
      </c>
      <c r="J70" s="107"/>
    </row>
    <row r="71" spans="1:10" ht="47.25">
      <c r="A71" s="37" t="s">
        <v>77</v>
      </c>
      <c r="B71" s="31" t="s">
        <v>32</v>
      </c>
      <c r="C71" s="21">
        <f>624696000+24988000</f>
        <v>649684000</v>
      </c>
      <c r="D71" s="334"/>
      <c r="E71" s="118" t="s">
        <v>13</v>
      </c>
      <c r="F71" s="19" t="s">
        <v>14</v>
      </c>
      <c r="G71" s="119" t="s">
        <v>56</v>
      </c>
      <c r="H71" s="118" t="s">
        <v>16</v>
      </c>
      <c r="I71" s="120" t="s">
        <v>157</v>
      </c>
      <c r="J71" s="121" t="s">
        <v>204</v>
      </c>
    </row>
    <row r="72" spans="1:10" ht="27.75" customHeight="1">
      <c r="A72" s="37" t="s">
        <v>77</v>
      </c>
      <c r="B72" s="20" t="s">
        <v>33</v>
      </c>
      <c r="C72" s="23">
        <v>20009000</v>
      </c>
      <c r="D72" s="334"/>
      <c r="E72" s="47" t="s">
        <v>13</v>
      </c>
      <c r="F72" s="47"/>
      <c r="G72" s="42" t="s">
        <v>56</v>
      </c>
      <c r="H72" s="47" t="s">
        <v>16</v>
      </c>
      <c r="I72" s="42" t="s">
        <v>156</v>
      </c>
      <c r="J72" s="30"/>
    </row>
    <row r="73" spans="1:10" ht="30">
      <c r="A73" s="37" t="s">
        <v>77</v>
      </c>
      <c r="B73" s="20" t="s">
        <v>34</v>
      </c>
      <c r="C73" s="23">
        <v>1343000</v>
      </c>
      <c r="D73" s="335"/>
      <c r="E73" s="47" t="s">
        <v>13</v>
      </c>
      <c r="F73" s="47"/>
      <c r="G73" s="42" t="s">
        <v>56</v>
      </c>
      <c r="H73" s="47" t="s">
        <v>16</v>
      </c>
      <c r="I73" s="42" t="s">
        <v>46</v>
      </c>
      <c r="J73" s="29"/>
    </row>
    <row r="74" spans="1:10">
      <c r="A74" s="10"/>
      <c r="B74" s="26" t="s">
        <v>64</v>
      </c>
      <c r="C74" s="28">
        <f>ROUND((C59+C63),-3)</f>
        <v>750000000</v>
      </c>
      <c r="D74" s="43"/>
      <c r="E74" s="43"/>
      <c r="F74" s="43"/>
      <c r="G74" s="43"/>
      <c r="H74" s="43"/>
      <c r="I74" s="43"/>
      <c r="J74" s="29"/>
    </row>
  </sheetData>
  <mergeCells count="13">
    <mergeCell ref="D69:D73"/>
    <mergeCell ref="J65:J66"/>
    <mergeCell ref="J11:J12"/>
    <mergeCell ref="D11:D13"/>
    <mergeCell ref="D15:D19"/>
    <mergeCell ref="A57:I57"/>
    <mergeCell ref="A56:I56"/>
    <mergeCell ref="D65:D67"/>
    <mergeCell ref="A1:I1"/>
    <mergeCell ref="A2:I2"/>
    <mergeCell ref="H3:I3"/>
    <mergeCell ref="D6:D8"/>
    <mergeCell ref="D60:D62"/>
  </mergeCells>
  <phoneticPr fontId="4" type="noConversion"/>
  <pageMargins left="0.35" right="0.17" top="0.49" bottom="0.27"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61" workbookViewId="0">
      <selection activeCell="A61"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146712000</v>
      </c>
      <c r="D5" s="10"/>
      <c r="E5" s="43"/>
      <c r="F5" s="43"/>
      <c r="G5" s="43"/>
      <c r="H5" s="43"/>
      <c r="I5" s="43"/>
      <c r="J5" s="29"/>
    </row>
    <row r="6" spans="1:12" s="33" customFormat="1" ht="31.5" customHeight="1">
      <c r="A6" s="37" t="s">
        <v>77</v>
      </c>
      <c r="B6" s="31" t="s">
        <v>129</v>
      </c>
      <c r="C6" s="21">
        <f>32519000+103282000</f>
        <v>135801000</v>
      </c>
      <c r="D6" s="339" t="s">
        <v>35</v>
      </c>
      <c r="E6" s="44" t="s">
        <v>13</v>
      </c>
      <c r="F6" s="43"/>
      <c r="G6" s="45"/>
      <c r="H6" s="44" t="s">
        <v>16</v>
      </c>
      <c r="I6" s="45" t="s">
        <v>66</v>
      </c>
      <c r="J6" s="32"/>
    </row>
    <row r="7" spans="1:12" s="27" customFormat="1">
      <c r="A7" s="37" t="s">
        <v>77</v>
      </c>
      <c r="B7" s="20" t="s">
        <v>80</v>
      </c>
      <c r="C7" s="21">
        <v>10493000</v>
      </c>
      <c r="D7" s="339"/>
      <c r="E7" s="44" t="s">
        <v>13</v>
      </c>
      <c r="F7" s="46"/>
      <c r="G7" s="46"/>
      <c r="H7" s="44" t="s">
        <v>16</v>
      </c>
      <c r="I7" s="45" t="s">
        <v>17</v>
      </c>
      <c r="J7" s="10"/>
    </row>
    <row r="8" spans="1:12" s="27" customFormat="1">
      <c r="A8" s="37" t="s">
        <v>77</v>
      </c>
      <c r="B8" s="20" t="s">
        <v>61</v>
      </c>
      <c r="C8" s="21">
        <v>418000</v>
      </c>
      <c r="D8" s="339"/>
      <c r="E8" s="46"/>
      <c r="F8" s="46"/>
      <c r="G8" s="46"/>
      <c r="H8" s="46"/>
      <c r="I8" s="46"/>
      <c r="J8" s="10"/>
    </row>
    <row r="9" spans="1:12">
      <c r="A9" s="10" t="s">
        <v>60</v>
      </c>
      <c r="B9" s="26" t="s">
        <v>76</v>
      </c>
      <c r="C9" s="28">
        <f>+C10+C14</f>
        <v>2053288000</v>
      </c>
      <c r="D9" s="43"/>
      <c r="E9" s="43"/>
      <c r="F9" s="43"/>
      <c r="G9" s="43"/>
      <c r="H9" s="43"/>
      <c r="I9" s="43"/>
      <c r="J9" s="29"/>
    </row>
    <row r="10" spans="1:12" ht="31.5">
      <c r="A10" s="10" t="s">
        <v>78</v>
      </c>
      <c r="B10" s="26" t="s">
        <v>58</v>
      </c>
      <c r="C10" s="28">
        <f>SUM(C11:C13)</f>
        <v>152160000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29"/>
    </row>
    <row r="12" spans="1:12" s="27" customFormat="1" ht="31.5" customHeight="1">
      <c r="A12" s="38" t="s">
        <v>77</v>
      </c>
      <c r="B12" s="20" t="s">
        <v>158</v>
      </c>
      <c r="C12" s="21">
        <v>129260000</v>
      </c>
      <c r="D12" s="334"/>
      <c r="E12" s="46"/>
      <c r="F12" s="46"/>
      <c r="G12" s="46"/>
      <c r="H12" s="46"/>
      <c r="I12" s="46"/>
      <c r="J12" s="329"/>
    </row>
    <row r="13" spans="1:12">
      <c r="A13" s="38" t="s">
        <v>77</v>
      </c>
      <c r="B13" s="20" t="s">
        <v>63</v>
      </c>
      <c r="C13" s="21">
        <v>20900000</v>
      </c>
      <c r="D13" s="335"/>
      <c r="E13" s="46"/>
      <c r="F13" s="46"/>
      <c r="G13" s="46"/>
      <c r="H13" s="46"/>
      <c r="I13" s="46"/>
      <c r="J13" s="329"/>
    </row>
    <row r="14" spans="1:12" s="33" customFormat="1" ht="31.5" customHeight="1">
      <c r="A14" s="10" t="s">
        <v>81</v>
      </c>
      <c r="B14" s="26" t="s">
        <v>59</v>
      </c>
      <c r="C14" s="28">
        <f>ROUND(SUM(C15:C19),-3)</f>
        <v>1901128000</v>
      </c>
      <c r="D14" s="43"/>
      <c r="E14" s="43"/>
      <c r="F14" s="43"/>
      <c r="G14" s="43"/>
      <c r="H14" s="43"/>
      <c r="I14" s="43"/>
      <c r="J14" s="29"/>
    </row>
    <row r="15" spans="1:12" s="33" customFormat="1" ht="31.5">
      <c r="A15" s="37" t="s">
        <v>77</v>
      </c>
      <c r="B15" s="31" t="s">
        <v>40</v>
      </c>
      <c r="C15" s="21">
        <f>3346000+4090000</f>
        <v>7436000</v>
      </c>
      <c r="D15" s="333" t="s">
        <v>35</v>
      </c>
      <c r="E15" s="44" t="s">
        <v>13</v>
      </c>
      <c r="F15" s="47"/>
      <c r="G15" s="45" t="s">
        <v>56</v>
      </c>
      <c r="H15" s="44" t="s">
        <v>16</v>
      </c>
      <c r="I15" s="45" t="s">
        <v>17</v>
      </c>
      <c r="J15" s="32"/>
      <c r="K15" s="35"/>
      <c r="L15" s="35"/>
    </row>
    <row r="16" spans="1:12" s="33" customFormat="1">
      <c r="A16" s="37" t="s">
        <v>77</v>
      </c>
      <c r="B16" s="31" t="s">
        <v>67</v>
      </c>
      <c r="C16" s="21">
        <v>51360000</v>
      </c>
      <c r="D16" s="334"/>
      <c r="E16" s="44" t="s">
        <v>13</v>
      </c>
      <c r="F16" s="47"/>
      <c r="G16" s="45" t="s">
        <v>56</v>
      </c>
      <c r="H16" s="44" t="s">
        <v>16</v>
      </c>
      <c r="I16" s="45" t="s">
        <v>46</v>
      </c>
      <c r="J16" s="34"/>
      <c r="K16" s="35">
        <v>12122000</v>
      </c>
      <c r="L16" s="35">
        <f>+J16+K16</f>
        <v>12122000</v>
      </c>
    </row>
    <row r="17" spans="1:12" ht="45">
      <c r="A17" s="37" t="s">
        <v>77</v>
      </c>
      <c r="B17" s="31" t="s">
        <v>68</v>
      </c>
      <c r="C17" s="21">
        <f>1721374000+60108000</f>
        <v>1781482000</v>
      </c>
      <c r="D17" s="334"/>
      <c r="E17" s="44" t="s">
        <v>72</v>
      </c>
      <c r="F17" s="42" t="s">
        <v>14</v>
      </c>
      <c r="G17" s="45" t="s">
        <v>56</v>
      </c>
      <c r="H17" s="44" t="s">
        <v>16</v>
      </c>
      <c r="I17" s="116" t="s">
        <v>153</v>
      </c>
      <c r="J17" s="36" t="s">
        <v>204</v>
      </c>
      <c r="K17" s="24"/>
      <c r="L17" s="24"/>
    </row>
    <row r="18" spans="1:12" ht="31.5">
      <c r="A18" s="37" t="s">
        <v>77</v>
      </c>
      <c r="B18" s="20" t="s">
        <v>69</v>
      </c>
      <c r="C18" s="23">
        <v>56547000</v>
      </c>
      <c r="D18" s="334"/>
      <c r="E18" s="47" t="s">
        <v>13</v>
      </c>
      <c r="F18" s="47"/>
      <c r="G18" s="42" t="s">
        <v>56</v>
      </c>
      <c r="H18" s="47" t="s">
        <v>16</v>
      </c>
      <c r="I18" s="42" t="s">
        <v>71</v>
      </c>
      <c r="J18" s="30"/>
    </row>
    <row r="19" spans="1:12">
      <c r="A19" s="37" t="s">
        <v>77</v>
      </c>
      <c r="B19" s="20" t="s">
        <v>70</v>
      </c>
      <c r="C19" s="23">
        <v>4303435</v>
      </c>
      <c r="D19" s="335"/>
      <c r="E19" s="47" t="s">
        <v>13</v>
      </c>
      <c r="F19" s="47"/>
      <c r="G19" s="42" t="s">
        <v>56</v>
      </c>
      <c r="H19" s="47" t="s">
        <v>16</v>
      </c>
      <c r="I19" s="42" t="s">
        <v>46</v>
      </c>
      <c r="J19" s="29"/>
    </row>
    <row r="20" spans="1:12">
      <c r="A20" s="10"/>
      <c r="B20" s="26" t="s">
        <v>64</v>
      </c>
      <c r="C20" s="28">
        <f>ROUND((C5+C9),-3)</f>
        <v>2200000000</v>
      </c>
      <c r="D20" s="43"/>
      <c r="E20" s="43"/>
      <c r="F20" s="43"/>
      <c r="G20" s="43"/>
      <c r="H20" s="43"/>
      <c r="I20" s="43"/>
      <c r="J20" s="29"/>
    </row>
    <row r="26" spans="1:12">
      <c r="C26" s="41">
        <f>665000/2</f>
        <v>332500</v>
      </c>
      <c r="D26" s="40"/>
    </row>
    <row r="27" spans="1:12">
      <c r="C27" s="99">
        <f>+C19+C26</f>
        <v>4635935</v>
      </c>
      <c r="D27" s="100">
        <f>+C27-704000-682000</f>
        <v>3249935</v>
      </c>
    </row>
    <row r="51" spans="1:11" ht="57" customHeight="1"/>
    <row r="52" spans="1:11" ht="50.25" customHeight="1"/>
    <row r="53" spans="1:11" ht="29.25" customHeight="1"/>
    <row r="54" spans="1:11" ht="32.25" hidden="1" customHeight="1"/>
    <row r="55" spans="1:11" ht="22.5" customHeight="1">
      <c r="A55" s="330" t="s">
        <v>27</v>
      </c>
      <c r="B55" s="330"/>
      <c r="C55" s="330"/>
      <c r="D55" s="330"/>
      <c r="E55" s="330"/>
      <c r="F55" s="330"/>
      <c r="G55" s="330"/>
      <c r="H55" s="330"/>
      <c r="I55" s="330"/>
    </row>
    <row r="56" spans="1:11" ht="16.5">
      <c r="A56" s="331" t="s">
        <v>206</v>
      </c>
      <c r="B56" s="331"/>
      <c r="C56" s="331"/>
      <c r="D56" s="331"/>
      <c r="E56" s="331"/>
      <c r="F56" s="331"/>
      <c r="G56" s="331"/>
      <c r="H56" s="331"/>
      <c r="I56" s="331"/>
    </row>
    <row r="57" spans="1:11" ht="63">
      <c r="A57" s="10" t="s">
        <v>21</v>
      </c>
      <c r="B57" s="10" t="s">
        <v>0</v>
      </c>
      <c r="C57" s="10" t="s">
        <v>83</v>
      </c>
      <c r="D57" s="10" t="s">
        <v>1</v>
      </c>
      <c r="E57" s="10" t="s">
        <v>2</v>
      </c>
      <c r="F57" s="10" t="s">
        <v>3</v>
      </c>
      <c r="G57" s="10" t="s">
        <v>4</v>
      </c>
      <c r="H57" s="10" t="s">
        <v>5</v>
      </c>
      <c r="I57" s="10" t="s">
        <v>6</v>
      </c>
      <c r="J57" s="10" t="s">
        <v>65</v>
      </c>
    </row>
    <row r="58" spans="1:11">
      <c r="A58" s="10" t="s">
        <v>57</v>
      </c>
      <c r="B58" s="26" t="s">
        <v>75</v>
      </c>
      <c r="C58" s="28">
        <f>SUM(C59:C61)</f>
        <v>146712000</v>
      </c>
      <c r="D58" s="10"/>
      <c r="E58" s="43"/>
      <c r="F58" s="43"/>
      <c r="G58" s="43"/>
      <c r="H58" s="43"/>
      <c r="I58" s="43"/>
      <c r="J58" s="29"/>
    </row>
    <row r="59" spans="1:11" ht="47.25" customHeight="1">
      <c r="A59" s="37" t="s">
        <v>77</v>
      </c>
      <c r="B59" s="31" t="s">
        <v>129</v>
      </c>
      <c r="C59" s="21">
        <f>32519000+103282000</f>
        <v>135801000</v>
      </c>
      <c r="D59" s="339" t="s">
        <v>35</v>
      </c>
      <c r="E59" s="44" t="s">
        <v>13</v>
      </c>
      <c r="F59" s="43"/>
      <c r="G59" s="45"/>
      <c r="H59" s="44" t="s">
        <v>16</v>
      </c>
      <c r="I59" s="45" t="s">
        <v>66</v>
      </c>
      <c r="J59" s="32"/>
      <c r="K59" s="33"/>
    </row>
    <row r="60" spans="1:11">
      <c r="A60" s="37" t="s">
        <v>77</v>
      </c>
      <c r="B60" s="20" t="s">
        <v>80</v>
      </c>
      <c r="C60" s="21">
        <v>10493000</v>
      </c>
      <c r="D60" s="339"/>
      <c r="E60" s="44" t="s">
        <v>13</v>
      </c>
      <c r="F60" s="46"/>
      <c r="G60" s="46"/>
      <c r="H60" s="44" t="s">
        <v>16</v>
      </c>
      <c r="I60" s="45" t="s">
        <v>17</v>
      </c>
      <c r="J60" s="10"/>
      <c r="K60" s="27"/>
    </row>
    <row r="61" spans="1:11">
      <c r="A61" s="37" t="s">
        <v>77</v>
      </c>
      <c r="B61" s="20" t="s">
        <v>61</v>
      </c>
      <c r="C61" s="21">
        <v>418000</v>
      </c>
      <c r="D61" s="339"/>
      <c r="E61" s="46"/>
      <c r="F61" s="46"/>
      <c r="G61" s="46"/>
      <c r="H61" s="46"/>
      <c r="I61" s="46"/>
      <c r="J61" s="10"/>
      <c r="K61" s="27"/>
    </row>
    <row r="62" spans="1:11">
      <c r="A62" s="10" t="s">
        <v>60</v>
      </c>
      <c r="B62" s="26" t="s">
        <v>76</v>
      </c>
      <c r="C62" s="28">
        <f>+C63+C67</f>
        <v>2053288000</v>
      </c>
      <c r="D62" s="43"/>
      <c r="E62" s="43"/>
      <c r="F62" s="43"/>
      <c r="G62" s="43"/>
      <c r="H62" s="43"/>
      <c r="I62" s="43"/>
      <c r="J62" s="29"/>
    </row>
    <row r="63" spans="1:11" ht="31.5">
      <c r="A63" s="10" t="s">
        <v>78</v>
      </c>
      <c r="B63" s="26" t="s">
        <v>58</v>
      </c>
      <c r="C63" s="28">
        <f>SUM(C64:C66)</f>
        <v>152160000</v>
      </c>
      <c r="D63" s="43"/>
      <c r="E63" s="43"/>
      <c r="F63" s="43"/>
      <c r="G63" s="43"/>
      <c r="H63" s="43"/>
      <c r="I63" s="43"/>
      <c r="J63" s="29"/>
    </row>
    <row r="64" spans="1:11" ht="31.5" customHeight="1">
      <c r="A64" s="38" t="s">
        <v>77</v>
      </c>
      <c r="B64" s="20" t="s">
        <v>79</v>
      </c>
      <c r="C64" s="21">
        <v>2000000</v>
      </c>
      <c r="D64" s="333" t="s">
        <v>35</v>
      </c>
      <c r="E64" s="46"/>
      <c r="F64" s="46"/>
      <c r="G64" s="46"/>
      <c r="H64" s="46"/>
      <c r="I64" s="46"/>
      <c r="J64" s="329"/>
      <c r="K64" s="27"/>
    </row>
    <row r="65" spans="1:11" ht="31.5" customHeight="1">
      <c r="A65" s="38" t="s">
        <v>77</v>
      </c>
      <c r="B65" s="20" t="s">
        <v>158</v>
      </c>
      <c r="C65" s="21">
        <v>129260000</v>
      </c>
      <c r="D65" s="334"/>
      <c r="E65" s="46"/>
      <c r="F65" s="46"/>
      <c r="G65" s="46"/>
      <c r="H65" s="46"/>
      <c r="I65" s="46"/>
      <c r="J65" s="329"/>
      <c r="K65" s="27"/>
    </row>
    <row r="66" spans="1:11" ht="31.5" customHeight="1">
      <c r="A66" s="38" t="s">
        <v>77</v>
      </c>
      <c r="B66" s="20" t="s">
        <v>63</v>
      </c>
      <c r="C66" s="21">
        <v>20900000</v>
      </c>
      <c r="D66" s="335"/>
      <c r="E66" s="46"/>
      <c r="F66" s="46"/>
      <c r="G66" s="46"/>
      <c r="H66" s="46"/>
      <c r="I66" s="46"/>
      <c r="J66" s="329"/>
      <c r="K66" s="27"/>
    </row>
    <row r="67" spans="1:11" ht="31.5" customHeight="1">
      <c r="A67" s="10" t="s">
        <v>81</v>
      </c>
      <c r="B67" s="26" t="s">
        <v>59</v>
      </c>
      <c r="C67" s="28">
        <f>ROUND(SUM(C68:C72),-3)</f>
        <v>1901128000</v>
      </c>
      <c r="D67" s="43"/>
      <c r="E67" s="43"/>
      <c r="F67" s="43"/>
      <c r="G67" s="43"/>
      <c r="H67" s="43"/>
      <c r="I67" s="43"/>
      <c r="J67" s="29"/>
    </row>
    <row r="68" spans="1:11" ht="31.5" customHeight="1">
      <c r="A68" s="37" t="s">
        <v>77</v>
      </c>
      <c r="B68" s="31" t="s">
        <v>40</v>
      </c>
      <c r="C68" s="21">
        <f>3346000+4090000</f>
        <v>7436000</v>
      </c>
      <c r="D68" s="333" t="s">
        <v>35</v>
      </c>
      <c r="E68" s="44" t="s">
        <v>13</v>
      </c>
      <c r="F68" s="47"/>
      <c r="G68" s="45" t="s">
        <v>56</v>
      </c>
      <c r="H68" s="44" t="s">
        <v>16</v>
      </c>
      <c r="I68" s="45" t="s">
        <v>17</v>
      </c>
      <c r="J68" s="32"/>
      <c r="K68" s="33"/>
    </row>
    <row r="69" spans="1:11" ht="31.5" customHeight="1">
      <c r="A69" s="37" t="s">
        <v>77</v>
      </c>
      <c r="B69" s="31" t="s">
        <v>67</v>
      </c>
      <c r="C69" s="21">
        <v>51360000</v>
      </c>
      <c r="D69" s="334"/>
      <c r="E69" s="44" t="s">
        <v>13</v>
      </c>
      <c r="F69" s="47"/>
      <c r="G69" s="45" t="s">
        <v>56</v>
      </c>
      <c r="H69" s="44" t="s">
        <v>16</v>
      </c>
      <c r="I69" s="45" t="s">
        <v>46</v>
      </c>
      <c r="J69" s="34"/>
      <c r="K69" s="35"/>
    </row>
    <row r="70" spans="1:11" ht="45">
      <c r="A70" s="37" t="s">
        <v>77</v>
      </c>
      <c r="B70" s="31" t="s">
        <v>68</v>
      </c>
      <c r="C70" s="21">
        <f>1721374000+60108000</f>
        <v>1781482000</v>
      </c>
      <c r="D70" s="334"/>
      <c r="E70" s="44" t="s">
        <v>72</v>
      </c>
      <c r="F70" s="42" t="s">
        <v>14</v>
      </c>
      <c r="G70" s="45" t="s">
        <v>56</v>
      </c>
      <c r="H70" s="44" t="s">
        <v>16</v>
      </c>
      <c r="I70" s="116" t="s">
        <v>153</v>
      </c>
      <c r="J70" s="36" t="s">
        <v>204</v>
      </c>
      <c r="K70" s="35">
        <v>12122000</v>
      </c>
    </row>
    <row r="71" spans="1:11" ht="31.5">
      <c r="A71" s="37" t="s">
        <v>77</v>
      </c>
      <c r="B71" s="20" t="s">
        <v>69</v>
      </c>
      <c r="C71" s="23">
        <v>56547000</v>
      </c>
      <c r="D71" s="334"/>
      <c r="E71" s="47" t="s">
        <v>13</v>
      </c>
      <c r="F71" s="47"/>
      <c r="G71" s="42" t="s">
        <v>56</v>
      </c>
      <c r="H71" s="47" t="s">
        <v>16</v>
      </c>
      <c r="I71" s="42" t="s">
        <v>71</v>
      </c>
      <c r="J71" s="30"/>
      <c r="K71" s="24"/>
    </row>
    <row r="72" spans="1:11">
      <c r="A72" s="37" t="s">
        <v>77</v>
      </c>
      <c r="B72" s="20" t="s">
        <v>70</v>
      </c>
      <c r="C72" s="23">
        <v>4303435</v>
      </c>
      <c r="D72" s="335"/>
      <c r="E72" s="47" t="s">
        <v>13</v>
      </c>
      <c r="F72" s="47"/>
      <c r="G72" s="42" t="s">
        <v>56</v>
      </c>
      <c r="H72" s="47" t="s">
        <v>16</v>
      </c>
      <c r="I72" s="42" t="s">
        <v>46</v>
      </c>
      <c r="J72" s="29"/>
    </row>
    <row r="73" spans="1:11">
      <c r="A73" s="10"/>
      <c r="B73" s="26" t="s">
        <v>64</v>
      </c>
      <c r="C73" s="28">
        <f>ROUND((C58+C62),-3)</f>
        <v>2200000000</v>
      </c>
      <c r="D73" s="43"/>
      <c r="E73" s="43"/>
      <c r="F73" s="43"/>
      <c r="G73" s="43"/>
      <c r="H73" s="43"/>
      <c r="I73" s="43"/>
      <c r="J73" s="29"/>
    </row>
    <row r="132" spans="3:3">
      <c r="C132" s="1">
        <v>160</v>
      </c>
    </row>
  </sheetData>
  <mergeCells count="13">
    <mergeCell ref="D68:D72"/>
    <mergeCell ref="A56:I56"/>
    <mergeCell ref="D59:D61"/>
    <mergeCell ref="D64:D66"/>
    <mergeCell ref="A1:I1"/>
    <mergeCell ref="A2:I2"/>
    <mergeCell ref="H3:I3"/>
    <mergeCell ref="D6:D8"/>
    <mergeCell ref="J64:J66"/>
    <mergeCell ref="A55:I55"/>
    <mergeCell ref="D11:D13"/>
    <mergeCell ref="J11:J13"/>
    <mergeCell ref="D15:D19"/>
  </mergeCells>
  <phoneticPr fontId="4" type="noConversion"/>
  <pageMargins left="0.46" right="0.2" top="0.49" bottom="0.2"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IV65536"/>
    </sheetView>
  </sheetViews>
  <sheetFormatPr defaultRowHeight="15"/>
  <cols>
    <col min="1" max="1" width="4.6640625" customWidth="1"/>
    <col min="2" max="2" width="40.6640625" customWidth="1"/>
    <col min="3" max="3" width="8.33203125" style="151" customWidth="1"/>
    <col min="4" max="4" width="20.88671875" customWidth="1"/>
    <col min="5" max="5" width="13.6640625" customWidth="1"/>
  </cols>
  <sheetData>
    <row r="1" spans="1:8" ht="27.75" customHeight="1">
      <c r="A1" s="346" t="s">
        <v>159</v>
      </c>
      <c r="B1" s="346"/>
      <c r="C1" s="346"/>
      <c r="D1" s="346"/>
      <c r="E1" s="346"/>
      <c r="F1" s="122"/>
      <c r="G1" s="122"/>
      <c r="H1" s="122"/>
    </row>
    <row r="2" spans="1:8" ht="15.75">
      <c r="A2" s="347" t="s">
        <v>160</v>
      </c>
      <c r="B2" s="347"/>
      <c r="C2" s="347"/>
      <c r="D2" s="347"/>
      <c r="E2" s="347"/>
      <c r="F2" s="123"/>
      <c r="G2" s="123"/>
      <c r="H2" s="123"/>
    </row>
    <row r="3" spans="1:8" ht="21" customHeight="1">
      <c r="A3" s="348"/>
      <c r="B3" s="348"/>
      <c r="C3" s="348"/>
      <c r="D3" s="348"/>
      <c r="E3" s="348"/>
      <c r="F3" s="124"/>
      <c r="G3" s="124"/>
      <c r="H3" s="124"/>
    </row>
    <row r="4" spans="1:8" ht="9" customHeight="1"/>
    <row r="5" spans="1:8" ht="21.95" customHeight="1">
      <c r="A5" s="125" t="s">
        <v>21</v>
      </c>
      <c r="B5" s="126" t="s">
        <v>89</v>
      </c>
      <c r="C5" s="125" t="s">
        <v>161</v>
      </c>
      <c r="D5" s="125" t="s">
        <v>91</v>
      </c>
      <c r="E5" s="125" t="s">
        <v>162</v>
      </c>
    </row>
    <row r="6" spans="1:8" ht="21.95" customHeight="1">
      <c r="A6" s="127" t="s">
        <v>163</v>
      </c>
      <c r="B6" s="128" t="s">
        <v>164</v>
      </c>
      <c r="C6" s="139" t="s">
        <v>94</v>
      </c>
      <c r="D6" s="140" t="s">
        <v>165</v>
      </c>
      <c r="E6" s="141">
        <f>SUM(E7:E8)</f>
        <v>870335000</v>
      </c>
    </row>
    <row r="7" spans="1:8" ht="21.95" customHeight="1">
      <c r="A7" s="129">
        <v>1</v>
      </c>
      <c r="B7" s="130" t="s">
        <v>166</v>
      </c>
      <c r="C7" s="142" t="s">
        <v>167</v>
      </c>
      <c r="D7" s="143" t="str">
        <f>D11</f>
        <v>Dự toán thẩm định</v>
      </c>
      <c r="E7" s="144">
        <v>459041000</v>
      </c>
    </row>
    <row r="8" spans="1:8" ht="21.95" customHeight="1">
      <c r="A8" s="129">
        <v>2</v>
      </c>
      <c r="B8" s="130" t="s">
        <v>168</v>
      </c>
      <c r="C8" s="142" t="s">
        <v>169</v>
      </c>
      <c r="D8" s="143" t="str">
        <f>D11</f>
        <v>Dự toán thẩm định</v>
      </c>
      <c r="E8" s="144">
        <v>411294000</v>
      </c>
    </row>
    <row r="9" spans="1:8" ht="21.95" customHeight="1">
      <c r="A9" s="127" t="s">
        <v>60</v>
      </c>
      <c r="B9" s="131" t="s">
        <v>142</v>
      </c>
      <c r="C9" s="139" t="s">
        <v>134</v>
      </c>
      <c r="D9" s="140" t="s">
        <v>171</v>
      </c>
      <c r="E9" s="141">
        <f>ROUND((E6*2.936%*0.8),-3)</f>
        <v>20442000</v>
      </c>
    </row>
    <row r="10" spans="1:8" ht="21.95" customHeight="1">
      <c r="A10" s="127" t="s">
        <v>170</v>
      </c>
      <c r="B10" s="128" t="s">
        <v>173</v>
      </c>
      <c r="C10" s="139" t="s">
        <v>96</v>
      </c>
      <c r="D10" s="140" t="s">
        <v>174</v>
      </c>
      <c r="E10" s="141">
        <f>SUM(E11:E16)</f>
        <v>94979000</v>
      </c>
    </row>
    <row r="11" spans="1:8" ht="21.95" customHeight="1">
      <c r="A11" s="129">
        <v>1</v>
      </c>
      <c r="B11" s="130" t="s">
        <v>175</v>
      </c>
      <c r="C11" s="142" t="s">
        <v>99</v>
      </c>
      <c r="D11" s="143" t="s">
        <v>176</v>
      </c>
      <c r="E11" s="144">
        <v>12788000</v>
      </c>
    </row>
    <row r="12" spans="1:8" ht="21.95" customHeight="1">
      <c r="A12" s="132">
        <v>2</v>
      </c>
      <c r="B12" s="133" t="s">
        <v>177</v>
      </c>
      <c r="C12" s="142" t="s">
        <v>100</v>
      </c>
      <c r="D12" s="145" t="s">
        <v>178</v>
      </c>
      <c r="E12" s="144">
        <f>ROUND((E6*5.4%),-3)</f>
        <v>46998000</v>
      </c>
    </row>
    <row r="13" spans="1:8" ht="21.95" customHeight="1">
      <c r="A13" s="129">
        <v>3</v>
      </c>
      <c r="B13" s="134" t="s">
        <v>179</v>
      </c>
      <c r="C13" s="142" t="s">
        <v>101</v>
      </c>
      <c r="D13" s="146" t="s">
        <v>180</v>
      </c>
      <c r="E13" s="144">
        <f>ROUND((E6*(0.17+0.166)%*1.2),-3)</f>
        <v>3509000</v>
      </c>
    </row>
    <row r="14" spans="1:8" ht="21.95" customHeight="1">
      <c r="A14" s="132">
        <v>4</v>
      </c>
      <c r="B14" s="130" t="s">
        <v>181</v>
      </c>
      <c r="C14" s="142" t="s">
        <v>102</v>
      </c>
      <c r="D14" s="142" t="s">
        <v>182</v>
      </c>
      <c r="E14" s="144">
        <f>ROUND((E6*0.346%*0.6),-3)</f>
        <v>1807000</v>
      </c>
    </row>
    <row r="15" spans="1:8" ht="33.75" customHeight="1">
      <c r="A15" s="129">
        <v>5</v>
      </c>
      <c r="B15" s="138" t="s">
        <v>183</v>
      </c>
      <c r="C15" s="142" t="s">
        <v>103</v>
      </c>
      <c r="D15" s="142" t="s">
        <v>184</v>
      </c>
      <c r="E15" s="144">
        <v>2000000</v>
      </c>
    </row>
    <row r="16" spans="1:8" ht="21.95" customHeight="1">
      <c r="A16" s="132">
        <v>6</v>
      </c>
      <c r="B16" s="133" t="s">
        <v>185</v>
      </c>
      <c r="C16" s="142" t="s">
        <v>186</v>
      </c>
      <c r="D16" s="147" t="s">
        <v>187</v>
      </c>
      <c r="E16" s="144">
        <f>ROUND((E6*3.203%),-3)</f>
        <v>27877000</v>
      </c>
    </row>
    <row r="17" spans="1:7" ht="21.95" customHeight="1">
      <c r="A17" s="125" t="s">
        <v>172</v>
      </c>
      <c r="B17" s="135" t="s">
        <v>189</v>
      </c>
      <c r="C17" s="148" t="s">
        <v>98</v>
      </c>
      <c r="D17" s="148" t="s">
        <v>190</v>
      </c>
      <c r="E17" s="141">
        <f>SUM(E18:E21)</f>
        <v>47097000</v>
      </c>
    </row>
    <row r="18" spans="1:7" ht="21.95" customHeight="1">
      <c r="A18" s="132">
        <v>1</v>
      </c>
      <c r="B18" s="136" t="s">
        <v>191</v>
      </c>
      <c r="C18" s="147" t="s">
        <v>109</v>
      </c>
      <c r="D18" s="147" t="s">
        <v>192</v>
      </c>
      <c r="E18" s="144">
        <f>ROUND((E6*4%),-3)</f>
        <v>34813000</v>
      </c>
    </row>
    <row r="19" spans="1:7" ht="33.75" customHeight="1">
      <c r="A19" s="132">
        <v>2</v>
      </c>
      <c r="B19" s="138" t="s">
        <v>193</v>
      </c>
      <c r="C19" s="147" t="s">
        <v>110</v>
      </c>
      <c r="D19" s="147" t="s">
        <v>194</v>
      </c>
      <c r="E19" s="144">
        <v>105000</v>
      </c>
    </row>
    <row r="20" spans="1:7" ht="21.95" customHeight="1">
      <c r="A20" s="132">
        <v>3</v>
      </c>
      <c r="B20" s="136" t="s">
        <v>195</v>
      </c>
      <c r="C20" s="147" t="s">
        <v>111</v>
      </c>
      <c r="D20" s="147" t="s">
        <v>196</v>
      </c>
      <c r="E20" s="144">
        <f>ROUND((E6*0.215%),-3)</f>
        <v>1871000</v>
      </c>
    </row>
    <row r="21" spans="1:7" ht="21.95" customHeight="1">
      <c r="A21" s="132">
        <v>4</v>
      </c>
      <c r="B21" s="133" t="s">
        <v>197</v>
      </c>
      <c r="C21" s="147" t="s">
        <v>113</v>
      </c>
      <c r="D21" s="147" t="s">
        <v>198</v>
      </c>
      <c r="E21" s="144">
        <f>ROUND((1085000000*0.95%),-3)</f>
        <v>10308000</v>
      </c>
    </row>
    <row r="22" spans="1:7" ht="21.95" customHeight="1">
      <c r="A22" s="125" t="s">
        <v>188</v>
      </c>
      <c r="B22" s="137" t="s">
        <v>158</v>
      </c>
      <c r="C22" s="148" t="s">
        <v>107</v>
      </c>
      <c r="D22" s="148" t="s">
        <v>199</v>
      </c>
      <c r="E22" s="141">
        <f>ROUND(((E6+E9+E10+E17)*5%),-3)</f>
        <v>51643000</v>
      </c>
    </row>
    <row r="23" spans="1:7" ht="21.95" customHeight="1">
      <c r="A23" s="363" t="s">
        <v>200</v>
      </c>
      <c r="B23" s="363"/>
      <c r="C23" s="148" t="s">
        <v>123</v>
      </c>
      <c r="D23" s="148" t="s">
        <v>201</v>
      </c>
      <c r="E23" s="141">
        <f>E6+E9+E10+E17+E22</f>
        <v>1084496000</v>
      </c>
    </row>
    <row r="24" spans="1:7" ht="21.95" customHeight="1">
      <c r="A24" s="362"/>
      <c r="B24" s="362"/>
      <c r="C24" s="362"/>
      <c r="D24" s="362"/>
      <c r="E24" s="362"/>
    </row>
    <row r="26" spans="1:7" ht="18.75">
      <c r="A26" s="110"/>
      <c r="B26" s="110"/>
      <c r="C26" s="344" t="s">
        <v>148</v>
      </c>
      <c r="D26" s="345"/>
    </row>
    <row r="27" spans="1:7" ht="18.75">
      <c r="A27" s="111"/>
      <c r="B27" s="344"/>
      <c r="C27" s="344"/>
      <c r="D27" s="344"/>
    </row>
    <row r="28" spans="1:7" ht="18.75">
      <c r="A28" s="113"/>
      <c r="B28" s="110"/>
      <c r="C28" s="344"/>
      <c r="D28" s="345"/>
    </row>
    <row r="29" spans="1:7" ht="18">
      <c r="A29" s="110"/>
      <c r="B29" s="110"/>
      <c r="C29" s="110"/>
      <c r="D29" s="114"/>
    </row>
    <row r="30" spans="1:7" ht="18">
      <c r="A30" s="110"/>
      <c r="B30" s="110"/>
      <c r="C30" s="110"/>
      <c r="D30" s="114"/>
    </row>
    <row r="31" spans="1:7" ht="18.75">
      <c r="A31" s="110"/>
      <c r="B31" s="110"/>
      <c r="C31" s="110"/>
      <c r="D31" s="149" t="s">
        <v>147</v>
      </c>
      <c r="E31" s="150"/>
    </row>
    <row r="32" spans="1:7" ht="18.75">
      <c r="C32" s="344"/>
      <c r="D32" s="344"/>
      <c r="E32" s="344"/>
      <c r="F32" s="344"/>
      <c r="G32" s="345"/>
    </row>
  </sheetData>
  <mergeCells count="10">
    <mergeCell ref="A1:E1"/>
    <mergeCell ref="A2:E2"/>
    <mergeCell ref="A3:E3"/>
    <mergeCell ref="A23:B23"/>
    <mergeCell ref="C32:E32"/>
    <mergeCell ref="F32:G32"/>
    <mergeCell ref="A24:E24"/>
    <mergeCell ref="C26:D26"/>
    <mergeCell ref="B27:D27"/>
    <mergeCell ref="C28:D28"/>
  </mergeCells>
  <phoneticPr fontId="4" type="noConversion"/>
  <pageMargins left="0.68" right="0.27" top="0.59"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13" workbookViewId="0">
      <selection activeCell="C14" sqref="C14"/>
    </sheetView>
  </sheetViews>
  <sheetFormatPr defaultColWidth="9" defaultRowHeight="15.75"/>
  <cols>
    <col min="1" max="1" width="4.109375" style="1" customWidth="1"/>
    <col min="2" max="2" width="33.88671875" style="1" customWidth="1"/>
    <col min="3" max="3" width="11.77734375" style="1" customWidth="1"/>
    <col min="4" max="5" width="11.21875" style="1" customWidth="1"/>
    <col min="6" max="6" width="8.21875" style="1" customWidth="1"/>
    <col min="7" max="7" width="12.21875" style="1" customWidth="1"/>
    <col min="8" max="8" width="8.109375" style="1" customWidth="1"/>
    <col min="9" max="9" width="9.44140625" style="1" customWidth="1"/>
    <col min="10" max="10" width="13.77734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63400380</v>
      </c>
      <c r="D5" s="10"/>
      <c r="E5" s="43"/>
      <c r="F5" s="43"/>
      <c r="G5" s="43"/>
      <c r="H5" s="43"/>
      <c r="I5" s="43"/>
      <c r="J5" s="29"/>
    </row>
    <row r="6" spans="1:12" s="33" customFormat="1" ht="31.5">
      <c r="A6" s="37" t="s">
        <v>77</v>
      </c>
      <c r="B6" s="31" t="s">
        <v>155</v>
      </c>
      <c r="C6" s="21">
        <f>12788071+46998116</f>
        <v>59786187</v>
      </c>
      <c r="D6" s="339" t="s">
        <v>35</v>
      </c>
      <c r="E6" s="44" t="s">
        <v>13</v>
      </c>
      <c r="F6" s="43"/>
      <c r="G6" s="45"/>
      <c r="H6" s="44" t="s">
        <v>16</v>
      </c>
      <c r="I6" s="45" t="s">
        <v>66</v>
      </c>
      <c r="J6" s="32"/>
    </row>
    <row r="7" spans="1:12" s="27" customFormat="1" ht="31.5">
      <c r="A7" s="37" t="s">
        <v>77</v>
      </c>
      <c r="B7" s="20" t="s">
        <v>80</v>
      </c>
      <c r="C7" s="21">
        <v>3509193</v>
      </c>
      <c r="D7" s="339"/>
      <c r="E7" s="44" t="s">
        <v>13</v>
      </c>
      <c r="F7" s="46"/>
      <c r="G7" s="46"/>
      <c r="H7" s="44" t="s">
        <v>16</v>
      </c>
      <c r="I7" s="45" t="s">
        <v>17</v>
      </c>
      <c r="J7" s="10"/>
    </row>
    <row r="8" spans="1:12" s="27" customFormat="1">
      <c r="A8" s="37" t="s">
        <v>77</v>
      </c>
      <c r="B8" s="20" t="s">
        <v>61</v>
      </c>
      <c r="C8" s="21">
        <v>105000</v>
      </c>
      <c r="D8" s="339"/>
      <c r="E8" s="46"/>
      <c r="F8" s="46"/>
      <c r="G8" s="46"/>
      <c r="H8" s="46"/>
      <c r="I8" s="46"/>
      <c r="J8" s="10"/>
    </row>
    <row r="9" spans="1:12">
      <c r="A9" s="10" t="s">
        <v>60</v>
      </c>
      <c r="B9" s="26" t="s">
        <v>76</v>
      </c>
      <c r="C9" s="28">
        <f>+C10+C14</f>
        <v>1021096000</v>
      </c>
      <c r="D9" s="43"/>
      <c r="E9" s="43"/>
      <c r="F9" s="43"/>
      <c r="G9" s="43"/>
      <c r="H9" s="43"/>
      <c r="I9" s="43"/>
      <c r="J9" s="29"/>
    </row>
    <row r="10" spans="1:12" ht="31.5">
      <c r="A10" s="10" t="s">
        <v>78</v>
      </c>
      <c r="B10" s="26" t="s">
        <v>58</v>
      </c>
      <c r="C10" s="28">
        <f>SUM(C11:C13)</f>
        <v>82393000</v>
      </c>
      <c r="D10" s="43"/>
      <c r="E10" s="43"/>
      <c r="F10" s="43"/>
      <c r="G10" s="43"/>
      <c r="H10" s="43"/>
      <c r="I10" s="43"/>
      <c r="J10" s="29"/>
    </row>
    <row r="11" spans="1:12" s="27" customFormat="1" ht="31.5" customHeight="1">
      <c r="A11" s="38" t="s">
        <v>77</v>
      </c>
      <c r="B11" s="20" t="s">
        <v>142</v>
      </c>
      <c r="C11" s="21">
        <v>20442000</v>
      </c>
      <c r="D11" s="333" t="s">
        <v>35</v>
      </c>
      <c r="E11" s="46"/>
      <c r="F11" s="46"/>
      <c r="G11" s="46"/>
      <c r="H11" s="46"/>
      <c r="I11" s="46"/>
      <c r="J11" s="329" t="s">
        <v>82</v>
      </c>
    </row>
    <row r="12" spans="1:12" s="27" customFormat="1" ht="31.5" customHeight="1">
      <c r="A12" s="38" t="s">
        <v>77</v>
      </c>
      <c r="B12" s="20" t="s">
        <v>63</v>
      </c>
      <c r="C12" s="21">
        <v>10308000</v>
      </c>
      <c r="D12" s="334"/>
      <c r="E12" s="46"/>
      <c r="F12" s="46"/>
      <c r="G12" s="46"/>
      <c r="H12" s="46"/>
      <c r="I12" s="46"/>
      <c r="J12" s="329"/>
    </row>
    <row r="13" spans="1:12" s="27" customFormat="1" ht="31.5" customHeight="1">
      <c r="A13" s="38" t="s">
        <v>77</v>
      </c>
      <c r="B13" s="20" t="s">
        <v>158</v>
      </c>
      <c r="C13" s="21">
        <v>51643000</v>
      </c>
      <c r="D13" s="335"/>
      <c r="E13" s="46"/>
      <c r="F13" s="46"/>
      <c r="G13" s="46"/>
      <c r="H13" s="46"/>
      <c r="I13" s="46"/>
      <c r="J13" s="329"/>
    </row>
    <row r="14" spans="1:12">
      <c r="A14" s="10" t="s">
        <v>81</v>
      </c>
      <c r="B14" s="26" t="s">
        <v>59</v>
      </c>
      <c r="C14" s="28">
        <f>ROUND(SUM(C15:C19),-3)</f>
        <v>938703000</v>
      </c>
      <c r="D14" s="10"/>
      <c r="E14" s="10"/>
      <c r="F14" s="10"/>
      <c r="G14" s="10"/>
      <c r="H14" s="10"/>
      <c r="I14" s="10"/>
      <c r="J14" s="29"/>
    </row>
    <row r="15" spans="1:12" s="33" customFormat="1" ht="31.5">
      <c r="A15" s="37" t="s">
        <v>77</v>
      </c>
      <c r="B15" s="31" t="s">
        <v>202</v>
      </c>
      <c r="C15" s="21">
        <v>1807000</v>
      </c>
      <c r="D15" s="333" t="s">
        <v>35</v>
      </c>
      <c r="E15" s="118" t="s">
        <v>13</v>
      </c>
      <c r="F15" s="22"/>
      <c r="G15" s="119" t="s">
        <v>56</v>
      </c>
      <c r="H15" s="118" t="s">
        <v>16</v>
      </c>
      <c r="I15" s="119" t="s">
        <v>17</v>
      </c>
      <c r="J15" s="32"/>
    </row>
    <row r="16" spans="1:12" s="33" customFormat="1" ht="31.5">
      <c r="A16" s="37" t="s">
        <v>77</v>
      </c>
      <c r="B16" s="31" t="s">
        <v>203</v>
      </c>
      <c r="C16" s="21">
        <v>2000000</v>
      </c>
      <c r="D16" s="334"/>
      <c r="E16" s="118" t="s">
        <v>13</v>
      </c>
      <c r="F16" s="22"/>
      <c r="G16" s="119" t="s">
        <v>56</v>
      </c>
      <c r="H16" s="118" t="s">
        <v>16</v>
      </c>
      <c r="I16" s="119" t="s">
        <v>17</v>
      </c>
      <c r="J16" s="34"/>
      <c r="K16" s="35"/>
      <c r="L16" s="35"/>
    </row>
    <row r="17" spans="1:12" s="33" customFormat="1" ht="47.25">
      <c r="A17" s="37" t="s">
        <v>77</v>
      </c>
      <c r="B17" s="31" t="s">
        <v>68</v>
      </c>
      <c r="C17" s="21">
        <f>870335000+34813419</f>
        <v>905148419</v>
      </c>
      <c r="D17" s="334"/>
      <c r="E17" s="118" t="s">
        <v>13</v>
      </c>
      <c r="F17" s="19" t="s">
        <v>14</v>
      </c>
      <c r="G17" s="119" t="s">
        <v>56</v>
      </c>
      <c r="H17" s="118" t="s">
        <v>16</v>
      </c>
      <c r="I17" s="120" t="s">
        <v>157</v>
      </c>
      <c r="J17" s="121" t="s">
        <v>204</v>
      </c>
      <c r="K17" s="35">
        <v>12122000</v>
      </c>
      <c r="L17" s="35" t="e">
        <f>+J17+K17</f>
        <v>#VALUE!</v>
      </c>
    </row>
    <row r="18" spans="1:12" ht="31.5">
      <c r="A18" s="37" t="s">
        <v>77</v>
      </c>
      <c r="B18" s="20" t="s">
        <v>69</v>
      </c>
      <c r="C18" s="23">
        <v>27876846</v>
      </c>
      <c r="D18" s="334"/>
      <c r="E18" s="47" t="s">
        <v>13</v>
      </c>
      <c r="F18" s="47"/>
      <c r="G18" s="42" t="s">
        <v>56</v>
      </c>
      <c r="H18" s="47" t="s">
        <v>16</v>
      </c>
      <c r="I18" s="42" t="s">
        <v>71</v>
      </c>
      <c r="J18" s="30"/>
      <c r="K18" s="24"/>
      <c r="L18" s="24"/>
    </row>
    <row r="19" spans="1:12" ht="30">
      <c r="A19" s="37" t="s">
        <v>77</v>
      </c>
      <c r="B19" s="20" t="s">
        <v>70</v>
      </c>
      <c r="C19" s="23">
        <v>1871221</v>
      </c>
      <c r="D19" s="335"/>
      <c r="E19" s="47" t="s">
        <v>13</v>
      </c>
      <c r="F19" s="47"/>
      <c r="G19" s="42" t="s">
        <v>56</v>
      </c>
      <c r="H19" s="47" t="s">
        <v>16</v>
      </c>
      <c r="I19" s="42" t="s">
        <v>46</v>
      </c>
      <c r="J19" s="29"/>
    </row>
    <row r="20" spans="1:12">
      <c r="A20" s="10"/>
      <c r="B20" s="26" t="s">
        <v>64</v>
      </c>
      <c r="C20" s="28">
        <f>ROUND((C5+C9),-3)</f>
        <v>1084496000</v>
      </c>
      <c r="D20" s="43"/>
      <c r="E20" s="43"/>
      <c r="F20" s="43"/>
      <c r="G20" s="43"/>
      <c r="H20" s="43"/>
      <c r="I20" s="43"/>
      <c r="J20" s="29"/>
    </row>
    <row r="27" spans="1:12">
      <c r="C27" s="41">
        <f>665000/2</f>
        <v>332500</v>
      </c>
      <c r="D27" s="40"/>
    </row>
    <row r="28" spans="1:12">
      <c r="C28" s="99">
        <f>+C20-C13</f>
        <v>1032853000</v>
      </c>
      <c r="D28" s="100">
        <f>+C28*0.9</f>
        <v>929567700</v>
      </c>
    </row>
    <row r="52" spans="1:10" ht="31.5" customHeight="1"/>
    <row r="53" spans="1:10" ht="31.5" customHeight="1"/>
    <row r="54" spans="1:10" ht="29.25" customHeight="1"/>
    <row r="55" spans="1:10" ht="32.25" hidden="1" customHeight="1"/>
    <row r="56" spans="1:10" ht="16.5">
      <c r="A56" s="330" t="s">
        <v>27</v>
      </c>
      <c r="B56" s="330"/>
      <c r="C56" s="330"/>
      <c r="D56" s="330"/>
      <c r="E56" s="330"/>
      <c r="F56" s="330"/>
      <c r="G56" s="330"/>
      <c r="H56" s="330"/>
      <c r="I56" s="330"/>
    </row>
    <row r="57" spans="1:10" ht="16.5">
      <c r="A57" s="331" t="s">
        <v>205</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63400380</v>
      </c>
      <c r="D59" s="10"/>
      <c r="E59" s="43"/>
      <c r="F59" s="43"/>
      <c r="G59" s="43"/>
      <c r="H59" s="43"/>
      <c r="I59" s="43"/>
      <c r="J59" s="29"/>
    </row>
    <row r="60" spans="1:10" ht="47.25" customHeight="1">
      <c r="A60" s="37" t="s">
        <v>77</v>
      </c>
      <c r="B60" s="31" t="s">
        <v>155</v>
      </c>
      <c r="C60" s="21">
        <f>12788071+46998116</f>
        <v>59786187</v>
      </c>
      <c r="D60" s="339" t="s">
        <v>35</v>
      </c>
      <c r="E60" s="44" t="s">
        <v>13</v>
      </c>
      <c r="F60" s="43"/>
      <c r="G60" s="45"/>
      <c r="H60" s="44" t="s">
        <v>16</v>
      </c>
      <c r="I60" s="45" t="s">
        <v>66</v>
      </c>
      <c r="J60" s="32"/>
    </row>
    <row r="61" spans="1:10" ht="31.5">
      <c r="A61" s="37" t="s">
        <v>77</v>
      </c>
      <c r="B61" s="20" t="s">
        <v>80</v>
      </c>
      <c r="C61" s="21">
        <v>3509193</v>
      </c>
      <c r="D61" s="339"/>
      <c r="E61" s="44" t="s">
        <v>13</v>
      </c>
      <c r="F61" s="46"/>
      <c r="G61" s="46"/>
      <c r="H61" s="44" t="s">
        <v>16</v>
      </c>
      <c r="I61" s="45" t="s">
        <v>17</v>
      </c>
      <c r="J61" s="10"/>
    </row>
    <row r="62" spans="1:10">
      <c r="A62" s="37" t="s">
        <v>77</v>
      </c>
      <c r="B62" s="20" t="s">
        <v>61</v>
      </c>
      <c r="C62" s="21">
        <v>105000</v>
      </c>
      <c r="D62" s="339"/>
      <c r="E62" s="46"/>
      <c r="F62" s="46"/>
      <c r="G62" s="46"/>
      <c r="H62" s="46"/>
      <c r="I62" s="46"/>
      <c r="J62" s="10"/>
    </row>
    <row r="63" spans="1:10">
      <c r="A63" s="10" t="s">
        <v>60</v>
      </c>
      <c r="B63" s="26" t="s">
        <v>76</v>
      </c>
      <c r="C63" s="28">
        <f>+C64+C68</f>
        <v>1021096000</v>
      </c>
      <c r="D63" s="43"/>
      <c r="E63" s="43"/>
      <c r="F63" s="43"/>
      <c r="G63" s="43"/>
      <c r="H63" s="43"/>
      <c r="I63" s="43"/>
      <c r="J63" s="29"/>
    </row>
    <row r="64" spans="1:10" ht="31.5">
      <c r="A64" s="10" t="s">
        <v>78</v>
      </c>
      <c r="B64" s="26" t="s">
        <v>58</v>
      </c>
      <c r="C64" s="28">
        <f>SUM(C65:C67)</f>
        <v>82393000</v>
      </c>
      <c r="D64" s="43"/>
      <c r="E64" s="43"/>
      <c r="F64" s="43"/>
      <c r="G64" s="43"/>
      <c r="H64" s="43"/>
      <c r="I64" s="43"/>
      <c r="J64" s="29"/>
    </row>
    <row r="65" spans="1:10" ht="31.5" customHeight="1">
      <c r="A65" s="38" t="s">
        <v>77</v>
      </c>
      <c r="B65" s="20" t="s">
        <v>142</v>
      </c>
      <c r="C65" s="21">
        <v>20442000</v>
      </c>
      <c r="D65" s="333" t="s">
        <v>35</v>
      </c>
      <c r="E65" s="46"/>
      <c r="F65" s="46"/>
      <c r="G65" s="46"/>
      <c r="H65" s="46"/>
      <c r="I65" s="46"/>
      <c r="J65" s="329" t="s">
        <v>82</v>
      </c>
    </row>
    <row r="66" spans="1:10" ht="31.5" customHeight="1">
      <c r="A66" s="38" t="s">
        <v>77</v>
      </c>
      <c r="B66" s="20" t="s">
        <v>63</v>
      </c>
      <c r="C66" s="21">
        <v>10308000</v>
      </c>
      <c r="D66" s="334"/>
      <c r="E66" s="46"/>
      <c r="F66" s="46"/>
      <c r="G66" s="46"/>
      <c r="H66" s="46"/>
      <c r="I66" s="46"/>
      <c r="J66" s="329"/>
    </row>
    <row r="67" spans="1:10" ht="31.5" customHeight="1">
      <c r="A67" s="38" t="s">
        <v>77</v>
      </c>
      <c r="B67" s="20" t="s">
        <v>158</v>
      </c>
      <c r="C67" s="21">
        <v>51643000</v>
      </c>
      <c r="D67" s="335"/>
      <c r="E67" s="46"/>
      <c r="F67" s="46"/>
      <c r="G67" s="46"/>
      <c r="H67" s="46"/>
      <c r="I67" s="46"/>
      <c r="J67" s="329"/>
    </row>
    <row r="68" spans="1:10" ht="31.5" customHeight="1">
      <c r="A68" s="10" t="s">
        <v>81</v>
      </c>
      <c r="B68" s="26" t="s">
        <v>59</v>
      </c>
      <c r="C68" s="28">
        <f>ROUND(SUM(C69:C73),-3)</f>
        <v>938703000</v>
      </c>
      <c r="D68" s="10"/>
      <c r="E68" s="10"/>
      <c r="F68" s="10"/>
      <c r="G68" s="10"/>
      <c r="H68" s="10"/>
      <c r="I68" s="10"/>
      <c r="J68" s="29"/>
    </row>
    <row r="69" spans="1:10" ht="31.5" customHeight="1">
      <c r="A69" s="37" t="s">
        <v>77</v>
      </c>
      <c r="B69" s="31" t="s">
        <v>202</v>
      </c>
      <c r="C69" s="21">
        <v>1807000</v>
      </c>
      <c r="D69" s="333" t="s">
        <v>35</v>
      </c>
      <c r="E69" s="118" t="s">
        <v>13</v>
      </c>
      <c r="F69" s="22"/>
      <c r="G69" s="119" t="s">
        <v>56</v>
      </c>
      <c r="H69" s="118" t="s">
        <v>16</v>
      </c>
      <c r="I69" s="119" t="s">
        <v>17</v>
      </c>
      <c r="J69" s="32"/>
    </row>
    <row r="70" spans="1:10" ht="31.5">
      <c r="A70" s="37" t="s">
        <v>77</v>
      </c>
      <c r="B70" s="31" t="s">
        <v>203</v>
      </c>
      <c r="C70" s="21">
        <v>2000000</v>
      </c>
      <c r="D70" s="334"/>
      <c r="E70" s="118" t="s">
        <v>13</v>
      </c>
      <c r="F70" s="22"/>
      <c r="G70" s="119" t="s">
        <v>56</v>
      </c>
      <c r="H70" s="118" t="s">
        <v>16</v>
      </c>
      <c r="I70" s="119" t="s">
        <v>17</v>
      </c>
      <c r="J70" s="34"/>
    </row>
    <row r="71" spans="1:10" ht="47.25">
      <c r="A71" s="37" t="s">
        <v>77</v>
      </c>
      <c r="B71" s="31" t="s">
        <v>68</v>
      </c>
      <c r="C71" s="21">
        <f>870335000+34813419</f>
        <v>905148419</v>
      </c>
      <c r="D71" s="334"/>
      <c r="E71" s="118" t="s">
        <v>13</v>
      </c>
      <c r="F71" s="19" t="s">
        <v>14</v>
      </c>
      <c r="G71" s="119" t="s">
        <v>56</v>
      </c>
      <c r="H71" s="118" t="s">
        <v>16</v>
      </c>
      <c r="I71" s="120" t="s">
        <v>157</v>
      </c>
      <c r="J71" s="121" t="s">
        <v>204</v>
      </c>
    </row>
    <row r="72" spans="1:10" ht="15.75" customHeight="1">
      <c r="A72" s="37" t="s">
        <v>77</v>
      </c>
      <c r="B72" s="20" t="s">
        <v>69</v>
      </c>
      <c r="C72" s="23">
        <v>27876846</v>
      </c>
      <c r="D72" s="334"/>
      <c r="E72" s="47" t="s">
        <v>13</v>
      </c>
      <c r="F72" s="47"/>
      <c r="G72" s="42" t="s">
        <v>56</v>
      </c>
      <c r="H72" s="47" t="s">
        <v>16</v>
      </c>
      <c r="I72" s="42" t="s">
        <v>71</v>
      </c>
      <c r="J72" s="30"/>
    </row>
    <row r="73" spans="1:10" ht="30">
      <c r="A73" s="37" t="s">
        <v>77</v>
      </c>
      <c r="B73" s="20" t="s">
        <v>70</v>
      </c>
      <c r="C73" s="23">
        <v>1871221</v>
      </c>
      <c r="D73" s="335"/>
      <c r="E73" s="47" t="s">
        <v>13</v>
      </c>
      <c r="F73" s="47"/>
      <c r="G73" s="42" t="s">
        <v>56</v>
      </c>
      <c r="H73" s="47" t="s">
        <v>16</v>
      </c>
      <c r="I73" s="42" t="s">
        <v>46</v>
      </c>
      <c r="J73" s="29"/>
    </row>
    <row r="74" spans="1:10">
      <c r="A74" s="10"/>
      <c r="B74" s="26" t="s">
        <v>64</v>
      </c>
      <c r="C74" s="28">
        <f>ROUND((C59+C63),-3)</f>
        <v>1084496000</v>
      </c>
      <c r="D74" s="43"/>
      <c r="E74" s="43"/>
      <c r="F74" s="43"/>
      <c r="G74" s="43"/>
      <c r="H74" s="43"/>
      <c r="I74" s="43"/>
      <c r="J74" s="29"/>
    </row>
  </sheetData>
  <mergeCells count="13">
    <mergeCell ref="D15:D19"/>
    <mergeCell ref="A56:I56"/>
    <mergeCell ref="D65:D67"/>
    <mergeCell ref="J65:J67"/>
    <mergeCell ref="D69:D73"/>
    <mergeCell ref="A57:I57"/>
    <mergeCell ref="D60:D62"/>
    <mergeCell ref="J11:J13"/>
    <mergeCell ref="A1:I1"/>
    <mergeCell ref="A2:I2"/>
    <mergeCell ref="H3:I3"/>
    <mergeCell ref="D6:D8"/>
    <mergeCell ref="D11:D13"/>
  </mergeCells>
  <phoneticPr fontId="4" type="noConversion"/>
  <pageMargins left="0.25" right="0.25" top="0.3" bottom="0.32" header="0.33" footer="0.2"/>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62" workbookViewId="0">
      <selection activeCell="B77" sqref="B7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124729000</v>
      </c>
      <c r="D5" s="10"/>
      <c r="E5" s="43"/>
      <c r="F5" s="43"/>
      <c r="G5" s="43"/>
      <c r="H5" s="43"/>
      <c r="I5" s="43"/>
      <c r="J5" s="29"/>
    </row>
    <row r="6" spans="1:12" ht="31.5" customHeight="1">
      <c r="A6" s="38" t="s">
        <v>77</v>
      </c>
      <c r="B6" s="20" t="s">
        <v>129</v>
      </c>
      <c r="C6" s="23">
        <f>32519000+19837000+53787000</f>
        <v>106143000</v>
      </c>
      <c r="D6" s="333" t="s">
        <v>35</v>
      </c>
      <c r="E6" s="47" t="s">
        <v>13</v>
      </c>
      <c r="F6" s="43"/>
      <c r="G6" s="42"/>
      <c r="H6" s="47" t="s">
        <v>16</v>
      </c>
      <c r="I6" s="42" t="s">
        <v>66</v>
      </c>
      <c r="J6" s="29"/>
    </row>
    <row r="7" spans="1:12" s="27" customFormat="1">
      <c r="A7" s="38" t="s">
        <v>77</v>
      </c>
      <c r="B7" s="20" t="s">
        <v>80</v>
      </c>
      <c r="C7" s="23">
        <v>17921000</v>
      </c>
      <c r="D7" s="334"/>
      <c r="E7" s="47" t="s">
        <v>13</v>
      </c>
      <c r="F7" s="46"/>
      <c r="G7" s="46"/>
      <c r="H7" s="47" t="s">
        <v>16</v>
      </c>
      <c r="I7" s="42" t="s">
        <v>17</v>
      </c>
      <c r="J7" s="10"/>
    </row>
    <row r="8" spans="1:12" s="27" customFormat="1">
      <c r="A8" s="38" t="s">
        <v>77</v>
      </c>
      <c r="B8" s="20" t="s">
        <v>61</v>
      </c>
      <c r="C8" s="23">
        <v>665000</v>
      </c>
      <c r="D8" s="335"/>
      <c r="E8" s="46"/>
      <c r="F8" s="46"/>
      <c r="G8" s="46"/>
      <c r="H8" s="46"/>
      <c r="I8" s="46"/>
      <c r="J8" s="10"/>
    </row>
    <row r="9" spans="1:12">
      <c r="A9" s="10" t="s">
        <v>60</v>
      </c>
      <c r="B9" s="26" t="s">
        <v>76</v>
      </c>
      <c r="C9" s="28">
        <f>+C10+C14</f>
        <v>3375271000</v>
      </c>
      <c r="D9" s="43"/>
      <c r="E9" s="43"/>
      <c r="F9" s="43"/>
      <c r="G9" s="43"/>
      <c r="H9" s="43"/>
      <c r="I9" s="43"/>
      <c r="J9" s="29"/>
    </row>
    <row r="10" spans="1:12" ht="31.5">
      <c r="A10" s="10" t="s">
        <v>78</v>
      </c>
      <c r="B10" s="26" t="s">
        <v>58</v>
      </c>
      <c r="C10" s="28">
        <f>SUM(C11:C13)</f>
        <v>128282000</v>
      </c>
      <c r="D10" s="43"/>
      <c r="E10" s="43"/>
      <c r="F10" s="43"/>
      <c r="G10" s="43"/>
      <c r="H10" s="43"/>
      <c r="I10" s="43"/>
      <c r="J10" s="29"/>
    </row>
    <row r="11" spans="1:12" s="27" customFormat="1" ht="31.5" customHeight="1">
      <c r="A11" s="38" t="s">
        <v>77</v>
      </c>
      <c r="B11" s="20" t="s">
        <v>79</v>
      </c>
      <c r="C11" s="23">
        <v>2000000</v>
      </c>
      <c r="D11" s="333" t="s">
        <v>35</v>
      </c>
      <c r="E11" s="46"/>
      <c r="F11" s="46"/>
      <c r="G11" s="46"/>
      <c r="H11" s="46"/>
      <c r="I11" s="46"/>
      <c r="J11" s="364"/>
    </row>
    <row r="12" spans="1:12" s="27" customFormat="1" ht="31.5" customHeight="1">
      <c r="A12" s="38" t="s">
        <v>77</v>
      </c>
      <c r="B12" s="20" t="s">
        <v>158</v>
      </c>
      <c r="C12" s="23">
        <v>93032000</v>
      </c>
      <c r="D12" s="334"/>
      <c r="E12" s="46"/>
      <c r="F12" s="46"/>
      <c r="G12" s="46"/>
      <c r="H12" s="46"/>
      <c r="I12" s="46"/>
      <c r="J12" s="365"/>
    </row>
    <row r="13" spans="1:12" s="27" customFormat="1" ht="31.5" customHeight="1">
      <c r="A13" s="38" t="s">
        <v>77</v>
      </c>
      <c r="B13" s="20" t="s">
        <v>63</v>
      </c>
      <c r="C13" s="23">
        <v>33250000</v>
      </c>
      <c r="D13" s="335"/>
      <c r="E13" s="46"/>
      <c r="F13" s="46"/>
      <c r="G13" s="46"/>
      <c r="H13" s="46"/>
      <c r="I13" s="46"/>
      <c r="J13" s="366"/>
    </row>
    <row r="14" spans="1:12">
      <c r="A14" s="10" t="s">
        <v>81</v>
      </c>
      <c r="B14" s="26" t="s">
        <v>59</v>
      </c>
      <c r="C14" s="28">
        <f>ROUND(SUM(C15:C19),-3)</f>
        <v>3246989000</v>
      </c>
      <c r="D14" s="43"/>
      <c r="E14" s="43"/>
      <c r="F14" s="43"/>
      <c r="G14" s="43"/>
      <c r="H14" s="43"/>
      <c r="I14" s="43"/>
      <c r="J14" s="29"/>
    </row>
    <row r="15" spans="1:12" ht="31.5" customHeight="1">
      <c r="A15" s="38" t="s">
        <v>77</v>
      </c>
      <c r="B15" s="20" t="s">
        <v>40</v>
      </c>
      <c r="C15" s="23">
        <f>5715000+6985000</f>
        <v>12700000</v>
      </c>
      <c r="D15" s="333" t="s">
        <v>35</v>
      </c>
      <c r="E15" s="47" t="s">
        <v>13</v>
      </c>
      <c r="F15" s="47"/>
      <c r="G15" s="42" t="s">
        <v>56</v>
      </c>
      <c r="H15" s="47" t="s">
        <v>16</v>
      </c>
      <c r="I15" s="42" t="s">
        <v>17</v>
      </c>
      <c r="J15" s="29"/>
    </row>
    <row r="16" spans="1:12">
      <c r="A16" s="38" t="s">
        <v>77</v>
      </c>
      <c r="B16" s="20" t="s">
        <v>67</v>
      </c>
      <c r="C16" s="23">
        <v>87712000</v>
      </c>
      <c r="D16" s="334"/>
      <c r="E16" s="47" t="s">
        <v>13</v>
      </c>
      <c r="F16" s="47"/>
      <c r="G16" s="42" t="s">
        <v>56</v>
      </c>
      <c r="H16" s="47" t="s">
        <v>16</v>
      </c>
      <c r="I16" s="42" t="s">
        <v>46</v>
      </c>
      <c r="J16" s="30"/>
      <c r="K16" s="24"/>
      <c r="L16" s="24"/>
    </row>
    <row r="17" spans="1:12" ht="45">
      <c r="A17" s="38" t="s">
        <v>77</v>
      </c>
      <c r="B17" s="20" t="s">
        <v>68</v>
      </c>
      <c r="C17" s="23">
        <f>2939765000+102892000</f>
        <v>3042657000</v>
      </c>
      <c r="D17" s="334"/>
      <c r="E17" s="47" t="s">
        <v>72</v>
      </c>
      <c r="F17" s="42" t="s">
        <v>14</v>
      </c>
      <c r="G17" s="42" t="s">
        <v>56</v>
      </c>
      <c r="H17" s="47" t="s">
        <v>16</v>
      </c>
      <c r="I17" s="42" t="s">
        <v>153</v>
      </c>
      <c r="J17" s="153" t="s">
        <v>212</v>
      </c>
      <c r="K17" s="24">
        <v>12122000</v>
      </c>
      <c r="L17" s="24" t="e">
        <f>+J17+K17</f>
        <v>#VALUE!</v>
      </c>
    </row>
    <row r="18" spans="1:12" ht="31.5">
      <c r="A18" s="38" t="s">
        <v>77</v>
      </c>
      <c r="B18" s="20" t="s">
        <v>69</v>
      </c>
      <c r="C18" s="23">
        <v>96571000</v>
      </c>
      <c r="D18" s="334"/>
      <c r="E18" s="47" t="s">
        <v>13</v>
      </c>
      <c r="F18" s="47"/>
      <c r="G18" s="42" t="s">
        <v>56</v>
      </c>
      <c r="H18" s="47" t="s">
        <v>16</v>
      </c>
      <c r="I18" s="42" t="s">
        <v>71</v>
      </c>
      <c r="J18" s="30"/>
      <c r="K18" s="24"/>
      <c r="L18" s="24"/>
    </row>
    <row r="19" spans="1:12">
      <c r="A19" s="38" t="s">
        <v>77</v>
      </c>
      <c r="B19" s="20" t="s">
        <v>70</v>
      </c>
      <c r="C19" s="23">
        <v>7349413</v>
      </c>
      <c r="D19" s="335"/>
      <c r="E19" s="47" t="s">
        <v>13</v>
      </c>
      <c r="F19" s="47"/>
      <c r="G19" s="42" t="s">
        <v>56</v>
      </c>
      <c r="H19" s="47" t="s">
        <v>16</v>
      </c>
      <c r="I19" s="42" t="s">
        <v>46</v>
      </c>
      <c r="J19" s="29"/>
    </row>
    <row r="20" spans="1:12">
      <c r="A20" s="10"/>
      <c r="B20" s="26" t="s">
        <v>64</v>
      </c>
      <c r="C20" s="28">
        <f>ROUND((C5+C9),-3)</f>
        <v>3500000000</v>
      </c>
      <c r="D20" s="43"/>
      <c r="E20" s="43"/>
      <c r="F20" s="43"/>
      <c r="G20" s="43"/>
      <c r="H20" s="43"/>
      <c r="I20" s="43"/>
      <c r="J20" s="29"/>
    </row>
    <row r="27" spans="1:12">
      <c r="C27" s="41">
        <f>665000/2</f>
        <v>332500</v>
      </c>
      <c r="D27" s="40"/>
    </row>
    <row r="28" spans="1:12">
      <c r="C28" s="99">
        <f>+C20+C27</f>
        <v>3500332500</v>
      </c>
      <c r="D28" s="100">
        <f>+C28-704000-682000</f>
        <v>3498946500</v>
      </c>
    </row>
    <row r="52" spans="1:10" ht="31.5" customHeight="1"/>
    <row r="53" spans="1:10" ht="31.5" customHeight="1"/>
    <row r="54" spans="1:10" ht="29.25" customHeight="1"/>
    <row r="55" spans="1:10" ht="32.25" hidden="1" customHeight="1"/>
    <row r="56" spans="1:10" ht="16.5">
      <c r="A56" s="330" t="s">
        <v>27</v>
      </c>
      <c r="B56" s="330"/>
      <c r="C56" s="330"/>
      <c r="D56" s="330"/>
      <c r="E56" s="330"/>
      <c r="F56" s="330"/>
      <c r="G56" s="330"/>
      <c r="H56" s="330"/>
      <c r="I56" s="330"/>
    </row>
    <row r="57" spans="1:10" ht="16.5">
      <c r="A57" s="331" t="s">
        <v>154</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124729000</v>
      </c>
      <c r="D59" s="10"/>
      <c r="E59" s="43"/>
      <c r="F59" s="43"/>
      <c r="G59" s="43"/>
      <c r="H59" s="43"/>
      <c r="I59" s="43"/>
      <c r="J59" s="29"/>
    </row>
    <row r="60" spans="1:10" ht="47.25" customHeight="1">
      <c r="A60" s="38" t="s">
        <v>77</v>
      </c>
      <c r="B60" s="20" t="s">
        <v>129</v>
      </c>
      <c r="C60" s="23">
        <f>32519000+19837000+53787000</f>
        <v>106143000</v>
      </c>
      <c r="D60" s="333" t="s">
        <v>35</v>
      </c>
      <c r="E60" s="47" t="s">
        <v>13</v>
      </c>
      <c r="F60" s="43"/>
      <c r="G60" s="42"/>
      <c r="H60" s="47" t="s">
        <v>16</v>
      </c>
      <c r="I60" s="42" t="s">
        <v>66</v>
      </c>
      <c r="J60" s="29"/>
    </row>
    <row r="61" spans="1:10">
      <c r="A61" s="38" t="s">
        <v>77</v>
      </c>
      <c r="B61" s="20" t="s">
        <v>80</v>
      </c>
      <c r="C61" s="23">
        <v>17921000</v>
      </c>
      <c r="D61" s="334"/>
      <c r="E61" s="47" t="s">
        <v>13</v>
      </c>
      <c r="F61" s="46"/>
      <c r="G61" s="46"/>
      <c r="H61" s="47" t="s">
        <v>16</v>
      </c>
      <c r="I61" s="42" t="s">
        <v>17</v>
      </c>
      <c r="J61" s="10"/>
    </row>
    <row r="62" spans="1:10">
      <c r="A62" s="38" t="s">
        <v>77</v>
      </c>
      <c r="B62" s="20" t="s">
        <v>61</v>
      </c>
      <c r="C62" s="23">
        <v>665000</v>
      </c>
      <c r="D62" s="335"/>
      <c r="E62" s="46"/>
      <c r="F62" s="46"/>
      <c r="G62" s="46"/>
      <c r="H62" s="46"/>
      <c r="I62" s="46"/>
      <c r="J62" s="10"/>
    </row>
    <row r="63" spans="1:10">
      <c r="A63" s="10" t="s">
        <v>60</v>
      </c>
      <c r="B63" s="26" t="s">
        <v>76</v>
      </c>
      <c r="C63" s="28">
        <f>+C64+C68</f>
        <v>3375271000</v>
      </c>
      <c r="D63" s="43"/>
      <c r="E63" s="43"/>
      <c r="F63" s="43"/>
      <c r="G63" s="43"/>
      <c r="H63" s="43"/>
      <c r="I63" s="43"/>
      <c r="J63" s="29"/>
    </row>
    <row r="64" spans="1:10" ht="31.5">
      <c r="A64" s="10" t="s">
        <v>78</v>
      </c>
      <c r="B64" s="26" t="s">
        <v>58</v>
      </c>
      <c r="C64" s="28">
        <f>SUM(C65:C67)</f>
        <v>128282000</v>
      </c>
      <c r="D64" s="43"/>
      <c r="E64" s="43"/>
      <c r="F64" s="43"/>
      <c r="G64" s="43"/>
      <c r="H64" s="43"/>
      <c r="I64" s="43"/>
      <c r="J64" s="29"/>
    </row>
    <row r="65" spans="1:10" ht="31.5" customHeight="1">
      <c r="A65" s="38" t="s">
        <v>77</v>
      </c>
      <c r="B65" s="20" t="s">
        <v>79</v>
      </c>
      <c r="C65" s="23">
        <v>2000000</v>
      </c>
      <c r="D65" s="333" t="s">
        <v>35</v>
      </c>
      <c r="E65" s="46"/>
      <c r="F65" s="46"/>
      <c r="G65" s="46"/>
      <c r="H65" s="46"/>
      <c r="I65" s="46"/>
      <c r="J65" s="364"/>
    </row>
    <row r="66" spans="1:10" ht="31.5" customHeight="1">
      <c r="A66" s="38" t="s">
        <v>77</v>
      </c>
      <c r="B66" s="20" t="s">
        <v>158</v>
      </c>
      <c r="C66" s="23">
        <v>93032000</v>
      </c>
      <c r="D66" s="334"/>
      <c r="E66" s="46"/>
      <c r="F66" s="46"/>
      <c r="G66" s="46"/>
      <c r="H66" s="46"/>
      <c r="I66" s="46"/>
      <c r="J66" s="365"/>
    </row>
    <row r="67" spans="1:10" ht="31.5" customHeight="1">
      <c r="A67" s="38" t="s">
        <v>77</v>
      </c>
      <c r="B67" s="20" t="s">
        <v>63</v>
      </c>
      <c r="C67" s="23">
        <v>33250000</v>
      </c>
      <c r="D67" s="335"/>
      <c r="E67" s="46"/>
      <c r="F67" s="46"/>
      <c r="G67" s="46"/>
      <c r="H67" s="46"/>
      <c r="I67" s="46"/>
      <c r="J67" s="366"/>
    </row>
    <row r="68" spans="1:10" ht="31.5" customHeight="1">
      <c r="A68" s="10" t="s">
        <v>81</v>
      </c>
      <c r="B68" s="26" t="s">
        <v>59</v>
      </c>
      <c r="C68" s="28">
        <f>ROUND(SUM(C69:C73),-3)</f>
        <v>3246989000</v>
      </c>
      <c r="D68" s="43"/>
      <c r="E68" s="43"/>
      <c r="F68" s="43"/>
      <c r="G68" s="43"/>
      <c r="H68" s="43"/>
      <c r="I68" s="43"/>
      <c r="J68" s="29"/>
    </row>
    <row r="69" spans="1:10" ht="31.5" customHeight="1">
      <c r="A69" s="38" t="s">
        <v>77</v>
      </c>
      <c r="B69" s="20" t="s">
        <v>40</v>
      </c>
      <c r="C69" s="23">
        <f>5715000+6985000</f>
        <v>12700000</v>
      </c>
      <c r="D69" s="333" t="s">
        <v>35</v>
      </c>
      <c r="E69" s="47" t="s">
        <v>13</v>
      </c>
      <c r="F69" s="47"/>
      <c r="G69" s="42" t="s">
        <v>56</v>
      </c>
      <c r="H69" s="47" t="s">
        <v>16</v>
      </c>
      <c r="I69" s="42" t="s">
        <v>17</v>
      </c>
      <c r="J69" s="29"/>
    </row>
    <row r="70" spans="1:10">
      <c r="A70" s="38" t="s">
        <v>77</v>
      </c>
      <c r="B70" s="20" t="s">
        <v>67</v>
      </c>
      <c r="C70" s="23">
        <v>87712000</v>
      </c>
      <c r="D70" s="334"/>
      <c r="E70" s="47" t="s">
        <v>13</v>
      </c>
      <c r="F70" s="47"/>
      <c r="G70" s="42" t="s">
        <v>56</v>
      </c>
      <c r="H70" s="47" t="s">
        <v>16</v>
      </c>
      <c r="I70" s="42" t="s">
        <v>46</v>
      </c>
      <c r="J70" s="30"/>
    </row>
    <row r="71" spans="1:10" ht="45">
      <c r="A71" s="38" t="s">
        <v>77</v>
      </c>
      <c r="B71" s="20" t="s">
        <v>68</v>
      </c>
      <c r="C71" s="23">
        <f>2939765000+102892000</f>
        <v>3042657000</v>
      </c>
      <c r="D71" s="334"/>
      <c r="E71" s="47" t="s">
        <v>72</v>
      </c>
      <c r="F71" s="42" t="s">
        <v>14</v>
      </c>
      <c r="G71" s="42" t="s">
        <v>56</v>
      </c>
      <c r="H71" s="47" t="s">
        <v>16</v>
      </c>
      <c r="I71" s="42" t="s">
        <v>153</v>
      </c>
      <c r="J71" s="153" t="s">
        <v>212</v>
      </c>
    </row>
    <row r="72" spans="1:10" ht="31.5">
      <c r="A72" s="38" t="s">
        <v>77</v>
      </c>
      <c r="B72" s="20" t="s">
        <v>69</v>
      </c>
      <c r="C72" s="23">
        <v>96571000</v>
      </c>
      <c r="D72" s="334"/>
      <c r="E72" s="47" t="s">
        <v>13</v>
      </c>
      <c r="F72" s="47"/>
      <c r="G72" s="42" t="s">
        <v>56</v>
      </c>
      <c r="H72" s="47" t="s">
        <v>16</v>
      </c>
      <c r="I72" s="42" t="s">
        <v>71</v>
      </c>
      <c r="J72" s="30"/>
    </row>
    <row r="73" spans="1:10">
      <c r="A73" s="38" t="s">
        <v>77</v>
      </c>
      <c r="B73" s="20" t="s">
        <v>70</v>
      </c>
      <c r="C73" s="23">
        <v>7349413</v>
      </c>
      <c r="D73" s="335"/>
      <c r="E73" s="47" t="s">
        <v>13</v>
      </c>
      <c r="F73" s="47"/>
      <c r="G73" s="42" t="s">
        <v>56</v>
      </c>
      <c r="H73" s="47" t="s">
        <v>16</v>
      </c>
      <c r="I73" s="42" t="s">
        <v>46</v>
      </c>
      <c r="J73" s="29"/>
    </row>
    <row r="74" spans="1:10">
      <c r="A74" s="10"/>
      <c r="B74" s="26" t="s">
        <v>64</v>
      </c>
      <c r="C74" s="28">
        <f>ROUND((C59+C63),-3)</f>
        <v>3500000000</v>
      </c>
      <c r="D74" s="43"/>
      <c r="E74" s="43"/>
      <c r="F74" s="43"/>
      <c r="G74" s="43"/>
      <c r="H74" s="43"/>
      <c r="I74" s="43"/>
      <c r="J74" s="29"/>
    </row>
  </sheetData>
  <mergeCells count="13">
    <mergeCell ref="D69:D73"/>
    <mergeCell ref="J65:J67"/>
    <mergeCell ref="A1:I1"/>
    <mergeCell ref="A2:I2"/>
    <mergeCell ref="H3:I3"/>
    <mergeCell ref="D6:D8"/>
    <mergeCell ref="A57:I57"/>
    <mergeCell ref="D11:D13"/>
    <mergeCell ref="J11:J13"/>
    <mergeCell ref="D15:D19"/>
    <mergeCell ref="A56:I56"/>
    <mergeCell ref="D60:D62"/>
    <mergeCell ref="D65:D67"/>
  </mergeCells>
  <phoneticPr fontId="4" type="noConversion"/>
  <pageMargins left="0.3" right="0.38" top="0.52" bottom="0.4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9" workbookViewId="0">
      <selection activeCell="A9" sqref="A9:E39"/>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2" t="s">
        <v>84</v>
      </c>
      <c r="B1" s="353"/>
      <c r="C1" s="353"/>
      <c r="D1" s="353"/>
      <c r="E1" s="353"/>
    </row>
    <row r="2" spans="1:6" ht="15.75" customHeight="1">
      <c r="A2" s="354" t="s">
        <v>85</v>
      </c>
      <c r="B2" s="355"/>
      <c r="C2" s="355"/>
      <c r="D2" s="355"/>
      <c r="E2" s="355"/>
    </row>
    <row r="3" spans="1:6" ht="6" customHeight="1">
      <c r="A3" s="356"/>
      <c r="B3" s="357"/>
      <c r="C3" s="357"/>
      <c r="D3" s="357"/>
      <c r="E3" s="357"/>
    </row>
    <row r="4" spans="1:6" ht="20.25" customHeight="1">
      <c r="A4" s="358" t="s">
        <v>86</v>
      </c>
      <c r="B4" s="359"/>
      <c r="C4" s="359"/>
      <c r="D4" s="359"/>
      <c r="E4" s="359"/>
    </row>
    <row r="5" spans="1:6" ht="6" customHeight="1">
      <c r="A5" s="49"/>
      <c r="B5" s="52"/>
      <c r="C5" s="49"/>
      <c r="D5" s="49"/>
      <c r="E5" s="53"/>
    </row>
    <row r="6" spans="1:6" s="54" customFormat="1" ht="17.25" customHeight="1">
      <c r="A6" s="360" t="s">
        <v>151</v>
      </c>
      <c r="B6" s="360"/>
      <c r="C6" s="360"/>
      <c r="D6" s="360"/>
      <c r="E6" s="360"/>
    </row>
    <row r="7" spans="1:6" s="54" customFormat="1" ht="1.5" hidden="1" customHeight="1">
      <c r="A7" s="361" t="s">
        <v>87</v>
      </c>
      <c r="B7" s="361"/>
      <c r="C7" s="361"/>
      <c r="D7" s="361"/>
      <c r="E7" s="361"/>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2939765000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87712000</v>
      </c>
    </row>
    <row r="16" spans="1:6">
      <c r="A16" s="70">
        <v>3</v>
      </c>
      <c r="B16" s="71" t="s">
        <v>97</v>
      </c>
      <c r="C16" s="72" t="s">
        <v>96</v>
      </c>
      <c r="D16" s="72" t="s">
        <v>149</v>
      </c>
      <c r="E16" s="73">
        <f>ROUND(SUM(E17:E21),-3)</f>
        <v>233335000</v>
      </c>
    </row>
    <row r="17" spans="1:8" ht="27.75" customHeight="1">
      <c r="A17" s="97" t="s">
        <v>77</v>
      </c>
      <c r="B17" s="74" t="s">
        <v>144</v>
      </c>
      <c r="C17" s="75" t="s">
        <v>99</v>
      </c>
      <c r="D17" s="66" t="s">
        <v>126</v>
      </c>
      <c r="E17" s="76">
        <v>32519000</v>
      </c>
    </row>
    <row r="18" spans="1:8" ht="27.75" customHeight="1">
      <c r="A18" s="97" t="s">
        <v>77</v>
      </c>
      <c r="B18" s="74" t="s">
        <v>152</v>
      </c>
      <c r="C18" s="75" t="s">
        <v>100</v>
      </c>
      <c r="D18" s="66" t="s">
        <v>126</v>
      </c>
      <c r="E18" s="76">
        <f>19837000+53787000</f>
        <v>73624000</v>
      </c>
    </row>
    <row r="19" spans="1:8" ht="17.100000000000001" customHeight="1">
      <c r="A19" s="97" t="s">
        <v>77</v>
      </c>
      <c r="B19" s="79" t="s">
        <v>132</v>
      </c>
      <c r="C19" s="75" t="s">
        <v>100</v>
      </c>
      <c r="D19" s="66" t="s">
        <v>126</v>
      </c>
      <c r="E19" s="78">
        <v>17921000</v>
      </c>
      <c r="G19" s="82"/>
      <c r="H19" s="83"/>
    </row>
    <row r="20" spans="1:8" ht="17.100000000000001" customHeight="1">
      <c r="A20" s="97" t="s">
        <v>77</v>
      </c>
      <c r="B20" s="79" t="s">
        <v>104</v>
      </c>
      <c r="C20" s="75" t="s">
        <v>101</v>
      </c>
      <c r="D20" s="66" t="s">
        <v>126</v>
      </c>
      <c r="E20" s="78">
        <f>5715000+6985000</f>
        <v>12700000</v>
      </c>
    </row>
    <row r="21" spans="1:8" ht="17.100000000000001" customHeight="1">
      <c r="A21" s="97" t="s">
        <v>77</v>
      </c>
      <c r="B21" s="79" t="s">
        <v>105</v>
      </c>
      <c r="C21" s="75" t="s">
        <v>102</v>
      </c>
      <c r="D21" s="66" t="s">
        <v>126</v>
      </c>
      <c r="E21" s="78">
        <v>96571000</v>
      </c>
    </row>
    <row r="22" spans="1:8">
      <c r="A22" s="84" t="s">
        <v>124</v>
      </c>
      <c r="B22" s="71" t="s">
        <v>106</v>
      </c>
      <c r="C22" s="72" t="s">
        <v>98</v>
      </c>
      <c r="D22" s="72" t="s">
        <v>150</v>
      </c>
      <c r="E22" s="73">
        <f>ROUND(SUM(E23:E27),-3)</f>
        <v>146156000</v>
      </c>
    </row>
    <row r="23" spans="1:8" ht="17.100000000000001" customHeight="1">
      <c r="A23" s="98" t="s">
        <v>77</v>
      </c>
      <c r="B23" s="86" t="s">
        <v>108</v>
      </c>
      <c r="C23" s="87" t="s">
        <v>109</v>
      </c>
      <c r="D23" s="66" t="s">
        <v>126</v>
      </c>
      <c r="E23" s="78">
        <v>102892000</v>
      </c>
    </row>
    <row r="24" spans="1:8" ht="17.100000000000001" customHeight="1">
      <c r="A24" s="98" t="s">
        <v>77</v>
      </c>
      <c r="B24" s="79" t="s">
        <v>133</v>
      </c>
      <c r="C24" s="87" t="s">
        <v>110</v>
      </c>
      <c r="D24" s="66" t="s">
        <v>126</v>
      </c>
      <c r="E24" s="78">
        <v>665000</v>
      </c>
    </row>
    <row r="25" spans="1:8" ht="17.100000000000001" customHeight="1">
      <c r="A25" s="98" t="s">
        <v>77</v>
      </c>
      <c r="B25" s="79" t="s">
        <v>145</v>
      </c>
      <c r="C25" s="87" t="s">
        <v>111</v>
      </c>
      <c r="D25" s="66" t="s">
        <v>126</v>
      </c>
      <c r="E25" s="78">
        <v>2000000</v>
      </c>
    </row>
    <row r="26" spans="1:8" ht="17.100000000000001" customHeight="1">
      <c r="A26" s="98" t="s">
        <v>77</v>
      </c>
      <c r="B26" s="79" t="s">
        <v>116</v>
      </c>
      <c r="C26" s="87" t="s">
        <v>113</v>
      </c>
      <c r="D26" s="66" t="s">
        <v>126</v>
      </c>
      <c r="E26" s="78">
        <v>33250000</v>
      </c>
    </row>
    <row r="27" spans="1:8" ht="17.100000000000001" customHeight="1">
      <c r="A27" s="98" t="s">
        <v>77</v>
      </c>
      <c r="B27" s="79" t="s">
        <v>118</v>
      </c>
      <c r="C27" s="87" t="s">
        <v>115</v>
      </c>
      <c r="D27" s="66" t="s">
        <v>126</v>
      </c>
      <c r="E27" s="78">
        <v>7349413</v>
      </c>
    </row>
    <row r="28" spans="1:8">
      <c r="A28" s="70">
        <v>5</v>
      </c>
      <c r="B28" s="71" t="s">
        <v>119</v>
      </c>
      <c r="C28" s="72" t="s">
        <v>107</v>
      </c>
      <c r="D28" s="72" t="s">
        <v>120</v>
      </c>
      <c r="E28" s="73">
        <f>+E29</f>
        <v>93032000</v>
      </c>
    </row>
    <row r="29" spans="1:8" ht="17.100000000000001" customHeight="1">
      <c r="A29" s="85" t="s">
        <v>121</v>
      </c>
      <c r="B29" s="79" t="s">
        <v>122</v>
      </c>
      <c r="C29" s="77" t="s">
        <v>120</v>
      </c>
      <c r="D29" s="66" t="s">
        <v>126</v>
      </c>
      <c r="E29" s="78">
        <v>93032000</v>
      </c>
    </row>
    <row r="30" spans="1:8" ht="18.75" customHeight="1">
      <c r="A30" s="88"/>
      <c r="B30" s="71" t="s">
        <v>125</v>
      </c>
      <c r="C30" s="72" t="s">
        <v>123</v>
      </c>
      <c r="D30" s="72" t="s">
        <v>136</v>
      </c>
      <c r="E30" s="73">
        <f>+E10+E15+E16+E22+E28</f>
        <v>3500000000</v>
      </c>
      <c r="F30" s="63"/>
    </row>
    <row r="31" spans="1:8" ht="9.75" customHeight="1" thickBot="1">
      <c r="A31" s="89" t="s">
        <v>121</v>
      </c>
      <c r="B31" s="90" t="s">
        <v>121</v>
      </c>
      <c r="C31" s="91" t="s">
        <v>121</v>
      </c>
      <c r="D31" s="91" t="s">
        <v>121</v>
      </c>
      <c r="E31" s="92"/>
    </row>
    <row r="32" spans="1:8" ht="10.5" customHeight="1"/>
    <row r="33" spans="1:5" ht="18.75">
      <c r="A33" s="110"/>
      <c r="B33" s="110"/>
      <c r="C33" s="110"/>
      <c r="D33" s="344" t="s">
        <v>148</v>
      </c>
      <c r="E33" s="345"/>
    </row>
    <row r="34" spans="1:5" ht="18.75">
      <c r="A34" s="110"/>
      <c r="B34" s="111"/>
      <c r="C34" s="344"/>
      <c r="D34" s="344"/>
      <c r="E34" s="344"/>
    </row>
    <row r="35" spans="1:5" ht="18.75">
      <c r="A35" s="112"/>
      <c r="B35" s="113"/>
      <c r="C35" s="110"/>
      <c r="D35" s="344"/>
      <c r="E35" s="345"/>
    </row>
    <row r="36" spans="1:5" ht="6.75" customHeight="1">
      <c r="A36" s="110"/>
      <c r="B36" s="110"/>
      <c r="C36" s="110"/>
      <c r="D36" s="113"/>
      <c r="E36" s="114"/>
    </row>
    <row r="37" spans="1:5" ht="20.25" customHeight="1">
      <c r="A37" s="110"/>
      <c r="B37" s="110"/>
      <c r="C37" s="110"/>
      <c r="D37" s="113"/>
      <c r="E37" s="114"/>
    </row>
    <row r="38" spans="1:5" ht="14.25" customHeight="1">
      <c r="A38" s="110"/>
      <c r="B38" s="110"/>
      <c r="C38" s="110"/>
      <c r="D38" s="113"/>
      <c r="E38" s="114"/>
    </row>
    <row r="39" spans="1:5" ht="18.75">
      <c r="A39" s="344"/>
      <c r="B39" s="344"/>
      <c r="C39" s="344"/>
      <c r="D39" s="344" t="s">
        <v>147</v>
      </c>
      <c r="E39" s="345"/>
    </row>
    <row r="40" spans="1:5" ht="33" customHeight="1">
      <c r="A40" s="351"/>
      <c r="B40" s="351"/>
      <c r="C40" s="351"/>
      <c r="D40" s="352"/>
      <c r="E40" s="353"/>
    </row>
  </sheetData>
  <mergeCells count="13">
    <mergeCell ref="A1:E1"/>
    <mergeCell ref="A2:E2"/>
    <mergeCell ref="A3:E3"/>
    <mergeCell ref="A4:E4"/>
    <mergeCell ref="D35:E35"/>
    <mergeCell ref="A39:C39"/>
    <mergeCell ref="D39:E39"/>
    <mergeCell ref="A40:C40"/>
    <mergeCell ref="D40:E40"/>
    <mergeCell ref="A6:E6"/>
    <mergeCell ref="A7:E7"/>
    <mergeCell ref="D33:E33"/>
    <mergeCell ref="C34:E34"/>
  </mergeCells>
  <phoneticPr fontId="4"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5" workbookViewId="0">
      <selection activeCell="D26" sqref="D26"/>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2" t="s">
        <v>84</v>
      </c>
      <c r="B1" s="353"/>
      <c r="C1" s="353"/>
      <c r="D1" s="353"/>
      <c r="E1" s="353"/>
    </row>
    <row r="2" spans="1:6" ht="15.75" customHeight="1">
      <c r="A2" s="354" t="s">
        <v>85</v>
      </c>
      <c r="B2" s="355"/>
      <c r="C2" s="355"/>
      <c r="D2" s="355"/>
      <c r="E2" s="355"/>
    </row>
    <row r="3" spans="1:6" ht="6" customHeight="1">
      <c r="A3" s="356"/>
      <c r="B3" s="357"/>
      <c r="C3" s="357"/>
      <c r="D3" s="357"/>
      <c r="E3" s="357"/>
    </row>
    <row r="4" spans="1:6" ht="20.25" customHeight="1">
      <c r="A4" s="358" t="s">
        <v>86</v>
      </c>
      <c r="B4" s="359"/>
      <c r="C4" s="359"/>
      <c r="D4" s="359"/>
      <c r="E4" s="359"/>
    </row>
    <row r="5" spans="1:6" ht="6" customHeight="1">
      <c r="A5" s="49"/>
      <c r="B5" s="52"/>
      <c r="C5" s="49"/>
      <c r="D5" s="49"/>
      <c r="E5" s="53"/>
    </row>
    <row r="6" spans="1:6" s="54" customFormat="1" ht="17.25" customHeight="1">
      <c r="A6" s="360" t="s">
        <v>146</v>
      </c>
      <c r="B6" s="360"/>
      <c r="C6" s="360"/>
      <c r="D6" s="360"/>
      <c r="E6" s="360"/>
    </row>
    <row r="7" spans="1:6" s="54" customFormat="1" ht="1.5" hidden="1" customHeight="1">
      <c r="A7" s="361" t="s">
        <v>87</v>
      </c>
      <c r="B7" s="361"/>
      <c r="C7" s="361"/>
      <c r="D7" s="361"/>
      <c r="E7" s="361"/>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862985000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25337000</v>
      </c>
    </row>
    <row r="16" spans="1:6">
      <c r="A16" s="70">
        <v>3</v>
      </c>
      <c r="B16" s="71" t="s">
        <v>97</v>
      </c>
      <c r="C16" s="72" t="s">
        <v>96</v>
      </c>
      <c r="D16" s="72" t="s">
        <v>149</v>
      </c>
      <c r="E16" s="73">
        <f>ROUND(SUM(E17:E20),-3)</f>
        <v>79890000</v>
      </c>
    </row>
    <row r="17" spans="1:8" ht="27.75" customHeight="1">
      <c r="A17" s="97" t="s">
        <v>77</v>
      </c>
      <c r="B17" s="74" t="s">
        <v>144</v>
      </c>
      <c r="C17" s="75" t="s">
        <v>99</v>
      </c>
      <c r="D17" s="66" t="s">
        <v>126</v>
      </c>
      <c r="E17" s="76">
        <v>45263000</v>
      </c>
    </row>
    <row r="18" spans="1:8" ht="17.100000000000001" customHeight="1">
      <c r="A18" s="97" t="s">
        <v>77</v>
      </c>
      <c r="B18" s="79" t="s">
        <v>132</v>
      </c>
      <c r="C18" s="75" t="s">
        <v>100</v>
      </c>
      <c r="D18" s="66" t="s">
        <v>126</v>
      </c>
      <c r="E18" s="78">
        <v>4000000</v>
      </c>
      <c r="G18" s="82"/>
      <c r="H18" s="83"/>
    </row>
    <row r="19" spans="1:8" ht="17.100000000000001" customHeight="1">
      <c r="A19" s="97" t="s">
        <v>77</v>
      </c>
      <c r="B19" s="79" t="s">
        <v>104</v>
      </c>
      <c r="C19" s="75" t="s">
        <v>101</v>
      </c>
      <c r="D19" s="66" t="s">
        <v>126</v>
      </c>
      <c r="E19" s="78">
        <f>1344000+1642000</f>
        <v>2986000</v>
      </c>
    </row>
    <row r="20" spans="1:8" ht="17.100000000000001" customHeight="1">
      <c r="A20" s="97" t="s">
        <v>77</v>
      </c>
      <c r="B20" s="79" t="s">
        <v>105</v>
      </c>
      <c r="C20" s="75" t="s">
        <v>102</v>
      </c>
      <c r="D20" s="66" t="s">
        <v>126</v>
      </c>
      <c r="E20" s="78">
        <v>27641000</v>
      </c>
    </row>
    <row r="21" spans="1:8">
      <c r="A21" s="84" t="s">
        <v>124</v>
      </c>
      <c r="B21" s="71" t="s">
        <v>106</v>
      </c>
      <c r="C21" s="72" t="s">
        <v>98</v>
      </c>
      <c r="D21" s="72" t="s">
        <v>150</v>
      </c>
      <c r="E21" s="73">
        <f>ROUND(SUM(E22:E26),-3)</f>
        <v>48514000</v>
      </c>
    </row>
    <row r="22" spans="1:8" ht="17.100000000000001" customHeight="1">
      <c r="A22" s="98" t="s">
        <v>77</v>
      </c>
      <c r="B22" s="86" t="s">
        <v>108</v>
      </c>
      <c r="C22" s="87" t="s">
        <v>109</v>
      </c>
      <c r="D22" s="66" t="s">
        <v>126</v>
      </c>
      <c r="E22" s="78">
        <v>34519000</v>
      </c>
    </row>
    <row r="23" spans="1:8" ht="17.100000000000001" customHeight="1">
      <c r="A23" s="98" t="s">
        <v>77</v>
      </c>
      <c r="B23" s="79" t="s">
        <v>133</v>
      </c>
      <c r="C23" s="87" t="s">
        <v>110</v>
      </c>
      <c r="D23" s="66" t="s">
        <v>126</v>
      </c>
      <c r="E23" s="78">
        <v>209000</v>
      </c>
    </row>
    <row r="24" spans="1:8" ht="17.100000000000001" customHeight="1">
      <c r="A24" s="98" t="s">
        <v>77</v>
      </c>
      <c r="B24" s="79" t="s">
        <v>145</v>
      </c>
      <c r="C24" s="87" t="s">
        <v>111</v>
      </c>
      <c r="D24" s="66" t="s">
        <v>126</v>
      </c>
      <c r="E24" s="78">
        <v>2000000</v>
      </c>
    </row>
    <row r="25" spans="1:8" ht="17.100000000000001" customHeight="1">
      <c r="A25" s="98" t="s">
        <v>77</v>
      </c>
      <c r="B25" s="79" t="s">
        <v>116</v>
      </c>
      <c r="C25" s="87" t="s">
        <v>113</v>
      </c>
      <c r="D25" s="66" t="s">
        <v>126</v>
      </c>
      <c r="E25" s="78">
        <v>9931000</v>
      </c>
    </row>
    <row r="26" spans="1:8" ht="17.100000000000001" customHeight="1">
      <c r="A26" s="98" t="s">
        <v>77</v>
      </c>
      <c r="B26" s="79" t="s">
        <v>118</v>
      </c>
      <c r="C26" s="87" t="s">
        <v>115</v>
      </c>
      <c r="D26" s="66" t="s">
        <v>126</v>
      </c>
      <c r="E26" s="78">
        <v>1855000</v>
      </c>
    </row>
    <row r="27" spans="1:8">
      <c r="A27" s="70">
        <v>5</v>
      </c>
      <c r="B27" s="71" t="s">
        <v>119</v>
      </c>
      <c r="C27" s="72" t="s">
        <v>107</v>
      </c>
      <c r="D27" s="72" t="s">
        <v>120</v>
      </c>
      <c r="E27" s="73">
        <f>+E28</f>
        <v>28105000</v>
      </c>
    </row>
    <row r="28" spans="1:8" ht="17.100000000000001" customHeight="1">
      <c r="A28" s="85" t="s">
        <v>121</v>
      </c>
      <c r="B28" s="79" t="s">
        <v>122</v>
      </c>
      <c r="C28" s="77" t="s">
        <v>120</v>
      </c>
      <c r="D28" s="66" t="s">
        <v>126</v>
      </c>
      <c r="E28" s="78">
        <v>28105000</v>
      </c>
    </row>
    <row r="29" spans="1:8" ht="18.75" customHeight="1">
      <c r="A29" s="88"/>
      <c r="B29" s="71" t="s">
        <v>125</v>
      </c>
      <c r="C29" s="72" t="s">
        <v>123</v>
      </c>
      <c r="D29" s="72" t="s">
        <v>136</v>
      </c>
      <c r="E29" s="73">
        <f>+E10+E15+E16+E21+E27</f>
        <v>1044831000</v>
      </c>
      <c r="F29" s="63"/>
    </row>
    <row r="30" spans="1:8" ht="9.75" customHeight="1" thickBot="1">
      <c r="A30" s="89" t="s">
        <v>121</v>
      </c>
      <c r="B30" s="90" t="s">
        <v>121</v>
      </c>
      <c r="C30" s="91" t="s">
        <v>121</v>
      </c>
      <c r="D30" s="91" t="s">
        <v>121</v>
      </c>
      <c r="E30" s="92"/>
    </row>
    <row r="31" spans="1:8" ht="10.5" customHeight="1"/>
    <row r="32" spans="1:8" ht="18.75">
      <c r="A32" s="110"/>
      <c r="B32" s="110"/>
      <c r="C32" s="110"/>
      <c r="D32" s="344" t="s">
        <v>148</v>
      </c>
      <c r="E32" s="345"/>
    </row>
    <row r="33" spans="1:5" ht="18.75">
      <c r="A33" s="110"/>
      <c r="B33" s="111"/>
      <c r="C33" s="344"/>
      <c r="D33" s="344"/>
      <c r="E33" s="344"/>
    </row>
    <row r="34" spans="1:5" ht="18.75">
      <c r="A34" s="112"/>
      <c r="B34" s="113"/>
      <c r="C34" s="110"/>
      <c r="D34" s="344"/>
      <c r="E34" s="345"/>
    </row>
    <row r="35" spans="1:5" ht="6.75" customHeight="1">
      <c r="A35" s="110"/>
      <c r="B35" s="110"/>
      <c r="C35" s="110"/>
      <c r="D35" s="113"/>
      <c r="E35" s="114"/>
    </row>
    <row r="36" spans="1:5" ht="20.25" customHeight="1">
      <c r="A36" s="110"/>
      <c r="B36" s="110"/>
      <c r="C36" s="110"/>
      <c r="D36" s="113"/>
      <c r="E36" s="114"/>
    </row>
    <row r="37" spans="1:5" ht="14.25" customHeight="1">
      <c r="A37" s="110"/>
      <c r="B37" s="110"/>
      <c r="C37" s="110"/>
      <c r="D37" s="113"/>
      <c r="E37" s="114"/>
    </row>
    <row r="38" spans="1:5" ht="18.75">
      <c r="A38" s="344"/>
      <c r="B38" s="344"/>
      <c r="C38" s="344"/>
      <c r="D38" s="344" t="s">
        <v>147</v>
      </c>
      <c r="E38" s="345"/>
    </row>
    <row r="39" spans="1:5" ht="33" customHeight="1">
      <c r="A39" s="351"/>
      <c r="B39" s="351"/>
      <c r="C39" s="351"/>
      <c r="D39" s="352"/>
      <c r="E39" s="353"/>
    </row>
  </sheetData>
  <mergeCells count="13">
    <mergeCell ref="A1:E1"/>
    <mergeCell ref="A2:E2"/>
    <mergeCell ref="A3:E3"/>
    <mergeCell ref="A4:E4"/>
    <mergeCell ref="D34:E34"/>
    <mergeCell ref="A38:C38"/>
    <mergeCell ref="D38:E38"/>
    <mergeCell ref="A39:C39"/>
    <mergeCell ref="D39:E39"/>
    <mergeCell ref="A6:E6"/>
    <mergeCell ref="A7:E7"/>
    <mergeCell ref="D32:E32"/>
    <mergeCell ref="C33:E33"/>
  </mergeCells>
  <phoneticPr fontId="4" type="noConversion"/>
  <pageMargins left="0.75" right="0.2" top="0.76"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9" workbookViewId="0">
      <selection activeCell="L34" sqref="L34"/>
    </sheetView>
  </sheetViews>
  <sheetFormatPr defaultColWidth="9" defaultRowHeight="15.75"/>
  <cols>
    <col min="1" max="1" width="4.109375" style="220" customWidth="1"/>
    <col min="2" max="2" width="41.77734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403</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202363000</v>
      </c>
      <c r="D5" s="221"/>
      <c r="E5" s="222"/>
      <c r="F5" s="222"/>
      <c r="G5" s="222"/>
      <c r="H5" s="222"/>
      <c r="I5" s="222"/>
      <c r="J5" s="225"/>
    </row>
    <row r="6" spans="1:10" ht="31.5">
      <c r="A6" s="226" t="s">
        <v>77</v>
      </c>
      <c r="B6" s="227" t="s">
        <v>379</v>
      </c>
      <c r="C6" s="228">
        <f>3562000+40649000+139743000</f>
        <v>183954000</v>
      </c>
      <c r="D6" s="326" t="s">
        <v>373</v>
      </c>
      <c r="E6" s="229" t="s">
        <v>13</v>
      </c>
      <c r="F6" s="222"/>
      <c r="G6" s="230"/>
      <c r="H6" s="229" t="s">
        <v>16</v>
      </c>
      <c r="I6" s="230" t="s">
        <v>66</v>
      </c>
      <c r="J6" s="225"/>
    </row>
    <row r="7" spans="1:10">
      <c r="A7" s="226" t="s">
        <v>77</v>
      </c>
      <c r="B7" s="227" t="s">
        <v>80</v>
      </c>
      <c r="C7" s="228">
        <v>17744000</v>
      </c>
      <c r="D7" s="319"/>
      <c r="E7" s="229" t="s">
        <v>13</v>
      </c>
      <c r="F7" s="231"/>
      <c r="G7" s="231"/>
      <c r="H7" s="229" t="s">
        <v>16</v>
      </c>
      <c r="I7" s="230" t="s">
        <v>45</v>
      </c>
      <c r="J7" s="221"/>
    </row>
    <row r="8" spans="1:10">
      <c r="A8" s="226" t="s">
        <v>77</v>
      </c>
      <c r="B8" s="227" t="s">
        <v>61</v>
      </c>
      <c r="C8" s="228">
        <v>665000</v>
      </c>
      <c r="D8" s="319"/>
      <c r="E8" s="231"/>
      <c r="F8" s="231"/>
      <c r="G8" s="231"/>
      <c r="H8" s="231"/>
      <c r="I8" s="231"/>
      <c r="J8" s="221"/>
    </row>
    <row r="9" spans="1:10">
      <c r="A9" s="221" t="s">
        <v>60</v>
      </c>
      <c r="B9" s="223" t="s">
        <v>76</v>
      </c>
      <c r="C9" s="224">
        <f>+C10+C14</f>
        <v>3259326400</v>
      </c>
      <c r="D9" s="319"/>
      <c r="E9" s="222"/>
      <c r="F9" s="222"/>
      <c r="G9" s="222"/>
      <c r="H9" s="222"/>
      <c r="I9" s="222"/>
      <c r="J9" s="225"/>
    </row>
    <row r="10" spans="1:10">
      <c r="A10" s="221" t="s">
        <v>78</v>
      </c>
      <c r="B10" s="223" t="s">
        <v>58</v>
      </c>
      <c r="C10" s="224">
        <f>SUM(C11:C13)</f>
        <v>131040400</v>
      </c>
      <c r="D10" s="319"/>
      <c r="E10" s="222"/>
      <c r="F10" s="222"/>
      <c r="G10" s="222"/>
      <c r="H10" s="222"/>
      <c r="I10" s="222"/>
      <c r="J10" s="225"/>
    </row>
    <row r="11" spans="1:10">
      <c r="A11" s="226" t="s">
        <v>77</v>
      </c>
      <c r="B11" s="227" t="s">
        <v>158</v>
      </c>
      <c r="C11" s="228">
        <v>46311000</v>
      </c>
      <c r="D11" s="319"/>
      <c r="E11" s="231"/>
      <c r="F11" s="231"/>
      <c r="G11" s="231"/>
      <c r="H11" s="231"/>
      <c r="I11" s="231"/>
      <c r="J11" s="328"/>
    </row>
    <row r="12" spans="1:10" s="244" customFormat="1">
      <c r="A12" s="237" t="s">
        <v>77</v>
      </c>
      <c r="B12" s="238" t="s">
        <v>383</v>
      </c>
      <c r="C12" s="264">
        <f>85799000*0.6</f>
        <v>51479400</v>
      </c>
      <c r="D12" s="319"/>
      <c r="E12" s="240"/>
      <c r="F12" s="265"/>
      <c r="G12" s="241"/>
      <c r="H12" s="240"/>
      <c r="I12" s="241"/>
      <c r="J12" s="328"/>
    </row>
    <row r="13" spans="1:10" s="244" customFormat="1">
      <c r="A13" s="237" t="s">
        <v>77</v>
      </c>
      <c r="B13" s="238" t="s">
        <v>63</v>
      </c>
      <c r="C13" s="239">
        <v>33250000</v>
      </c>
      <c r="D13" s="319"/>
      <c r="E13" s="262"/>
      <c r="F13" s="262"/>
      <c r="G13" s="262"/>
      <c r="H13" s="262"/>
      <c r="I13" s="262"/>
      <c r="J13" s="328"/>
    </row>
    <row r="14" spans="1:10">
      <c r="A14" s="221" t="s">
        <v>81</v>
      </c>
      <c r="B14" s="223" t="s">
        <v>59</v>
      </c>
      <c r="C14" s="224">
        <f>ROUND(SUM(C15:C20),-3)</f>
        <v>3128286000</v>
      </c>
      <c r="D14" s="319"/>
      <c r="E14" s="222"/>
      <c r="F14" s="222"/>
      <c r="G14" s="222"/>
      <c r="H14" s="222"/>
      <c r="I14" s="222"/>
      <c r="J14" s="225"/>
    </row>
    <row r="15" spans="1:10" ht="30">
      <c r="A15" s="226" t="s">
        <v>77</v>
      </c>
      <c r="B15" s="227" t="s">
        <v>371</v>
      </c>
      <c r="C15" s="228">
        <f>5659000+6916000</f>
        <v>12575000</v>
      </c>
      <c r="D15" s="319"/>
      <c r="E15" s="229" t="s">
        <v>13</v>
      </c>
      <c r="F15" s="230"/>
      <c r="G15" s="230" t="s">
        <v>396</v>
      </c>
      <c r="H15" s="229" t="s">
        <v>16</v>
      </c>
      <c r="I15" s="230" t="s">
        <v>45</v>
      </c>
      <c r="J15" s="245"/>
    </row>
    <row r="16" spans="1:10" ht="30">
      <c r="A16" s="226" t="s">
        <v>77</v>
      </c>
      <c r="B16" s="227" t="s">
        <v>369</v>
      </c>
      <c r="C16" s="228">
        <v>2000000</v>
      </c>
      <c r="D16" s="319"/>
      <c r="E16" s="229" t="s">
        <v>13</v>
      </c>
      <c r="F16" s="230"/>
      <c r="G16" s="230" t="s">
        <v>396</v>
      </c>
      <c r="H16" s="229" t="s">
        <v>16</v>
      </c>
      <c r="I16" s="230" t="s">
        <v>17</v>
      </c>
      <c r="J16" s="245"/>
    </row>
    <row r="17" spans="1:12" ht="30">
      <c r="A17" s="226" t="s">
        <v>77</v>
      </c>
      <c r="B17" s="227" t="s">
        <v>387</v>
      </c>
      <c r="C17" s="264">
        <f>85799000*0.4</f>
        <v>34319600</v>
      </c>
      <c r="D17" s="319"/>
      <c r="E17" s="229" t="s">
        <v>13</v>
      </c>
      <c r="F17" s="222"/>
      <c r="G17" s="230" t="s">
        <v>396</v>
      </c>
      <c r="H17" s="229" t="s">
        <v>16</v>
      </c>
      <c r="I17" s="230" t="s">
        <v>46</v>
      </c>
      <c r="J17" s="225"/>
    </row>
    <row r="18" spans="1:12" ht="45">
      <c r="A18" s="226" t="s">
        <v>77</v>
      </c>
      <c r="B18" s="227" t="s">
        <v>401</v>
      </c>
      <c r="C18" s="228">
        <f>2875651000+100648000</f>
        <v>2976299000</v>
      </c>
      <c r="D18" s="319"/>
      <c r="E18" s="229" t="s">
        <v>389</v>
      </c>
      <c r="F18" s="230" t="s">
        <v>14</v>
      </c>
      <c r="G18" s="230" t="s">
        <v>396</v>
      </c>
      <c r="H18" s="229" t="s">
        <v>16</v>
      </c>
      <c r="I18" s="230" t="s">
        <v>225</v>
      </c>
      <c r="J18" s="245"/>
    </row>
    <row r="19" spans="1:12" ht="31.5">
      <c r="A19" s="226" t="s">
        <v>77</v>
      </c>
      <c r="B19" s="227" t="s">
        <v>372</v>
      </c>
      <c r="C19" s="239">
        <v>94465000</v>
      </c>
      <c r="D19" s="319"/>
      <c r="E19" s="229" t="s">
        <v>13</v>
      </c>
      <c r="F19" s="229"/>
      <c r="G19" s="230" t="s">
        <v>396</v>
      </c>
      <c r="H19" s="229" t="s">
        <v>16</v>
      </c>
      <c r="I19" s="230" t="s">
        <v>48</v>
      </c>
      <c r="J19" s="236"/>
    </row>
    <row r="20" spans="1:12" ht="30">
      <c r="A20" s="226" t="s">
        <v>77</v>
      </c>
      <c r="B20" s="227" t="s">
        <v>51</v>
      </c>
      <c r="C20" s="228">
        <v>8627000</v>
      </c>
      <c r="D20" s="327"/>
      <c r="E20" s="229" t="s">
        <v>13</v>
      </c>
      <c r="F20" s="229"/>
      <c r="G20" s="230" t="s">
        <v>396</v>
      </c>
      <c r="H20" s="229" t="s">
        <v>16</v>
      </c>
      <c r="I20" s="230" t="s">
        <v>46</v>
      </c>
      <c r="J20" s="225"/>
    </row>
    <row r="21" spans="1:12">
      <c r="A21" s="221"/>
      <c r="B21" s="223" t="s">
        <v>64</v>
      </c>
      <c r="C21" s="224">
        <f>ROUND((C5+C9),-3)</f>
        <v>3461689000</v>
      </c>
      <c r="D21" s="222"/>
      <c r="E21" s="222"/>
      <c r="F21" s="222"/>
      <c r="G21" s="222"/>
      <c r="H21" s="222"/>
      <c r="I21" s="222"/>
      <c r="J21" s="225"/>
    </row>
    <row r="22" spans="1:12" ht="21.75" customHeight="1">
      <c r="A22" s="316" t="s">
        <v>27</v>
      </c>
      <c r="B22" s="316"/>
      <c r="C22" s="316"/>
      <c r="D22" s="316"/>
      <c r="E22" s="316"/>
      <c r="F22" s="316"/>
      <c r="G22" s="316"/>
      <c r="H22" s="316"/>
      <c r="I22" s="316"/>
    </row>
    <row r="23" spans="1:12" ht="16.5">
      <c r="A23" s="317" t="s">
        <v>404</v>
      </c>
      <c r="B23" s="317"/>
      <c r="C23" s="317"/>
      <c r="D23" s="317"/>
      <c r="E23" s="317"/>
      <c r="F23" s="317"/>
      <c r="G23" s="317"/>
      <c r="H23" s="317"/>
      <c r="I23" s="317"/>
    </row>
    <row r="24" spans="1:12">
      <c r="H24" s="318"/>
      <c r="I24" s="318"/>
    </row>
    <row r="25" spans="1:12" ht="63">
      <c r="A25" s="221" t="s">
        <v>21</v>
      </c>
      <c r="B25" s="221" t="s">
        <v>0</v>
      </c>
      <c r="C25" s="221" t="s">
        <v>83</v>
      </c>
      <c r="D25" s="221" t="s">
        <v>1</v>
      </c>
      <c r="E25" s="221" t="s">
        <v>2</v>
      </c>
      <c r="F25" s="221" t="s">
        <v>3</v>
      </c>
      <c r="G25" s="221" t="s">
        <v>4</v>
      </c>
      <c r="H25" s="221" t="s">
        <v>5</v>
      </c>
      <c r="I25" s="221" t="s">
        <v>6</v>
      </c>
      <c r="J25" s="221" t="s">
        <v>65</v>
      </c>
    </row>
    <row r="26" spans="1:12">
      <c r="A26" s="221" t="s">
        <v>57</v>
      </c>
      <c r="B26" s="223" t="s">
        <v>75</v>
      </c>
      <c r="C26" s="224">
        <f>SUM(C27:C29)</f>
        <v>202363000</v>
      </c>
      <c r="D26" s="221"/>
      <c r="E26" s="222"/>
      <c r="F26" s="222"/>
      <c r="G26" s="222"/>
      <c r="H26" s="222"/>
      <c r="I26" s="222"/>
      <c r="J26" s="225"/>
    </row>
    <row r="27" spans="1:12" ht="31.5" customHeight="1">
      <c r="A27" s="226" t="s">
        <v>77</v>
      </c>
      <c r="B27" s="227" t="s">
        <v>379</v>
      </c>
      <c r="C27" s="228">
        <f>3562000+40649000+139743000</f>
        <v>183954000</v>
      </c>
      <c r="D27" s="326" t="s">
        <v>373</v>
      </c>
      <c r="E27" s="229" t="s">
        <v>13</v>
      </c>
      <c r="F27" s="222"/>
      <c r="G27" s="230"/>
      <c r="H27" s="229" t="s">
        <v>16</v>
      </c>
      <c r="I27" s="230" t="s">
        <v>66</v>
      </c>
      <c r="J27" s="225"/>
    </row>
    <row r="28" spans="1:12">
      <c r="A28" s="226" t="s">
        <v>77</v>
      </c>
      <c r="B28" s="227" t="s">
        <v>80</v>
      </c>
      <c r="C28" s="228">
        <v>17744000</v>
      </c>
      <c r="D28" s="319"/>
      <c r="E28" s="229" t="s">
        <v>13</v>
      </c>
      <c r="F28" s="231"/>
      <c r="G28" s="231"/>
      <c r="H28" s="229" t="s">
        <v>16</v>
      </c>
      <c r="I28" s="230" t="s">
        <v>45</v>
      </c>
      <c r="J28" s="221"/>
      <c r="L28" s="220">
        <f>2875651</f>
        <v>2875651</v>
      </c>
    </row>
    <row r="29" spans="1:12">
      <c r="A29" s="226" t="s">
        <v>77</v>
      </c>
      <c r="B29" s="227" t="s">
        <v>61</v>
      </c>
      <c r="C29" s="228">
        <v>665000</v>
      </c>
      <c r="D29" s="319"/>
      <c r="E29" s="231"/>
      <c r="F29" s="231"/>
      <c r="G29" s="231"/>
      <c r="H29" s="231"/>
      <c r="I29" s="231"/>
      <c r="J29" s="221"/>
      <c r="L29" s="220">
        <v>85799</v>
      </c>
    </row>
    <row r="30" spans="1:12">
      <c r="A30" s="221" t="s">
        <v>60</v>
      </c>
      <c r="B30" s="223" t="s">
        <v>76</v>
      </c>
      <c r="C30" s="224">
        <f>+C31+C35</f>
        <v>3259326400</v>
      </c>
      <c r="D30" s="319"/>
      <c r="E30" s="222"/>
      <c r="F30" s="222"/>
      <c r="G30" s="222"/>
      <c r="H30" s="222"/>
      <c r="I30" s="222"/>
      <c r="J30" s="225"/>
      <c r="L30" s="220">
        <v>308738</v>
      </c>
    </row>
    <row r="31" spans="1:12">
      <c r="A31" s="221" t="s">
        <v>78</v>
      </c>
      <c r="B31" s="223" t="s">
        <v>58</v>
      </c>
      <c r="C31" s="224">
        <f>SUM(C32:C34)</f>
        <v>131040400</v>
      </c>
      <c r="D31" s="319"/>
      <c r="E31" s="222"/>
      <c r="F31" s="222"/>
      <c r="G31" s="222"/>
      <c r="H31" s="222"/>
      <c r="I31" s="222"/>
      <c r="J31" s="225"/>
      <c r="L31" s="220">
        <v>145190</v>
      </c>
    </row>
    <row r="32" spans="1:12">
      <c r="A32" s="226" t="s">
        <v>77</v>
      </c>
      <c r="B32" s="227" t="s">
        <v>158</v>
      </c>
      <c r="C32" s="228">
        <v>46311000</v>
      </c>
      <c r="D32" s="319"/>
      <c r="E32" s="231"/>
      <c r="F32" s="231"/>
      <c r="G32" s="231"/>
      <c r="H32" s="231"/>
      <c r="I32" s="231"/>
      <c r="J32" s="328"/>
      <c r="L32" s="220">
        <v>46311</v>
      </c>
    </row>
    <row r="33" spans="1:12">
      <c r="A33" s="237" t="s">
        <v>77</v>
      </c>
      <c r="B33" s="238" t="s">
        <v>383</v>
      </c>
      <c r="C33" s="264">
        <f>85799000*0.6</f>
        <v>51479400</v>
      </c>
      <c r="D33" s="319"/>
      <c r="E33" s="240"/>
      <c r="F33" s="265"/>
      <c r="G33" s="241"/>
      <c r="H33" s="240"/>
      <c r="I33" s="241"/>
      <c r="J33" s="328"/>
      <c r="L33" s="220">
        <f>SUM(L28:L32)</f>
        <v>3461689</v>
      </c>
    </row>
    <row r="34" spans="1:12">
      <c r="A34" s="237" t="s">
        <v>77</v>
      </c>
      <c r="B34" s="238" t="s">
        <v>63</v>
      </c>
      <c r="C34" s="239">
        <v>33250000</v>
      </c>
      <c r="D34" s="319"/>
      <c r="E34" s="262"/>
      <c r="F34" s="262"/>
      <c r="G34" s="262"/>
      <c r="H34" s="262"/>
      <c r="I34" s="262"/>
      <c r="J34" s="328"/>
    </row>
    <row r="35" spans="1:12">
      <c r="A35" s="221" t="s">
        <v>81</v>
      </c>
      <c r="B35" s="223" t="s">
        <v>59</v>
      </c>
      <c r="C35" s="224">
        <f>ROUND(SUM(C36:C41),-3)</f>
        <v>3128286000</v>
      </c>
      <c r="D35" s="319"/>
      <c r="E35" s="222"/>
      <c r="F35" s="222"/>
      <c r="G35" s="222"/>
      <c r="H35" s="222"/>
      <c r="I35" s="222"/>
      <c r="J35" s="225"/>
    </row>
    <row r="36" spans="1:12" ht="30">
      <c r="A36" s="226" t="s">
        <v>77</v>
      </c>
      <c r="B36" s="227" t="s">
        <v>371</v>
      </c>
      <c r="C36" s="228">
        <f>5659000+6916000</f>
        <v>12575000</v>
      </c>
      <c r="D36" s="319"/>
      <c r="E36" s="229" t="s">
        <v>13</v>
      </c>
      <c r="F36" s="230"/>
      <c r="G36" s="230" t="s">
        <v>396</v>
      </c>
      <c r="H36" s="229" t="s">
        <v>16</v>
      </c>
      <c r="I36" s="230" t="s">
        <v>45</v>
      </c>
      <c r="J36" s="245"/>
    </row>
    <row r="37" spans="1:12" ht="30">
      <c r="A37" s="226" t="s">
        <v>77</v>
      </c>
      <c r="B37" s="227" t="s">
        <v>369</v>
      </c>
      <c r="C37" s="228">
        <v>2000000</v>
      </c>
      <c r="D37" s="319"/>
      <c r="E37" s="229" t="s">
        <v>13</v>
      </c>
      <c r="F37" s="230"/>
      <c r="G37" s="230" t="s">
        <v>396</v>
      </c>
      <c r="H37" s="229" t="s">
        <v>16</v>
      </c>
      <c r="I37" s="230" t="s">
        <v>17</v>
      </c>
      <c r="J37" s="245"/>
    </row>
    <row r="38" spans="1:12" ht="30">
      <c r="A38" s="226" t="s">
        <v>77</v>
      </c>
      <c r="B38" s="227" t="s">
        <v>387</v>
      </c>
      <c r="C38" s="264">
        <f>85799000*0.4</f>
        <v>34319600</v>
      </c>
      <c r="D38" s="319"/>
      <c r="E38" s="229" t="s">
        <v>13</v>
      </c>
      <c r="F38" s="222"/>
      <c r="G38" s="230" t="s">
        <v>396</v>
      </c>
      <c r="H38" s="229" t="s">
        <v>16</v>
      </c>
      <c r="I38" s="230" t="s">
        <v>46</v>
      </c>
      <c r="J38" s="225"/>
    </row>
    <row r="39" spans="1:12" ht="45">
      <c r="A39" s="226" t="s">
        <v>77</v>
      </c>
      <c r="B39" s="227" t="s">
        <v>401</v>
      </c>
      <c r="C39" s="228">
        <f>2875651000+100648000</f>
        <v>2976299000</v>
      </c>
      <c r="D39" s="319"/>
      <c r="E39" s="229" t="s">
        <v>389</v>
      </c>
      <c r="F39" s="230" t="s">
        <v>14</v>
      </c>
      <c r="G39" s="230" t="s">
        <v>396</v>
      </c>
      <c r="H39" s="229" t="s">
        <v>16</v>
      </c>
      <c r="I39" s="230" t="s">
        <v>225</v>
      </c>
      <c r="J39" s="245"/>
    </row>
    <row r="40" spans="1:12" ht="31.5">
      <c r="A40" s="226" t="s">
        <v>77</v>
      </c>
      <c r="B40" s="227" t="s">
        <v>372</v>
      </c>
      <c r="C40" s="239">
        <v>94465000</v>
      </c>
      <c r="D40" s="319"/>
      <c r="E40" s="229" t="s">
        <v>13</v>
      </c>
      <c r="F40" s="229"/>
      <c r="G40" s="230" t="s">
        <v>396</v>
      </c>
      <c r="H40" s="229" t="s">
        <v>16</v>
      </c>
      <c r="I40" s="230" t="s">
        <v>48</v>
      </c>
      <c r="J40" s="236"/>
    </row>
    <row r="41" spans="1:12" ht="30">
      <c r="A41" s="226" t="s">
        <v>77</v>
      </c>
      <c r="B41" s="227" t="s">
        <v>51</v>
      </c>
      <c r="C41" s="228">
        <v>8627000</v>
      </c>
      <c r="D41" s="327"/>
      <c r="E41" s="229" t="s">
        <v>13</v>
      </c>
      <c r="F41" s="229"/>
      <c r="G41" s="230" t="s">
        <v>396</v>
      </c>
      <c r="H41" s="229" t="s">
        <v>16</v>
      </c>
      <c r="I41" s="230" t="s">
        <v>46</v>
      </c>
      <c r="J41" s="225"/>
    </row>
    <row r="42" spans="1:12">
      <c r="A42" s="221"/>
      <c r="B42" s="223" t="s">
        <v>64</v>
      </c>
      <c r="C42" s="224">
        <f>ROUND((C26+C30),-3)</f>
        <v>3461689000</v>
      </c>
      <c r="D42" s="222"/>
      <c r="E42" s="222"/>
      <c r="F42" s="222"/>
      <c r="G42" s="222"/>
      <c r="H42" s="222"/>
      <c r="I42" s="222"/>
      <c r="J42" s="225"/>
    </row>
  </sheetData>
  <mergeCells count="10">
    <mergeCell ref="A1:I1"/>
    <mergeCell ref="A2:I2"/>
    <mergeCell ref="H3:I3"/>
    <mergeCell ref="D6:D20"/>
    <mergeCell ref="D27:D41"/>
    <mergeCell ref="J32:J34"/>
    <mergeCell ref="J11:J13"/>
    <mergeCell ref="A22:I22"/>
    <mergeCell ref="A23:I23"/>
    <mergeCell ref="H24:I24"/>
  </mergeCells>
  <phoneticPr fontId="4" type="noConversion"/>
  <pageMargins left="0.49" right="0.2" top="0.59" bottom="0.33" header="0.5" footer="0.34"/>
  <pageSetup paperSize="9" orientation="landscape" verticalDpi="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4" workbookViewId="0">
      <selection activeCell="D9" sqref="D9"/>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49472000</v>
      </c>
      <c r="D5" s="10"/>
      <c r="E5" s="43"/>
      <c r="F5" s="43"/>
      <c r="G5" s="43"/>
      <c r="H5" s="43"/>
      <c r="I5" s="43"/>
      <c r="J5" s="29"/>
    </row>
    <row r="6" spans="1:12" s="33" customFormat="1" ht="31.5">
      <c r="A6" s="37" t="s">
        <v>77</v>
      </c>
      <c r="B6" s="31" t="s">
        <v>127</v>
      </c>
      <c r="C6" s="21">
        <f>45263000</f>
        <v>45263000</v>
      </c>
      <c r="D6" s="339" t="s">
        <v>35</v>
      </c>
      <c r="E6" s="44" t="s">
        <v>13</v>
      </c>
      <c r="F6" s="43"/>
      <c r="G6" s="45"/>
      <c r="H6" s="44" t="s">
        <v>16</v>
      </c>
      <c r="I6" s="45" t="s">
        <v>66</v>
      </c>
      <c r="J6" s="32"/>
    </row>
    <row r="7" spans="1:12" s="27" customFormat="1">
      <c r="A7" s="37" t="s">
        <v>77</v>
      </c>
      <c r="B7" s="20" t="s">
        <v>80</v>
      </c>
      <c r="C7" s="21">
        <v>4000000</v>
      </c>
      <c r="D7" s="339"/>
      <c r="E7" s="44" t="s">
        <v>13</v>
      </c>
      <c r="F7" s="46"/>
      <c r="G7" s="46"/>
      <c r="H7" s="44" t="s">
        <v>16</v>
      </c>
      <c r="I7" s="45" t="s">
        <v>17</v>
      </c>
      <c r="J7" s="10"/>
    </row>
    <row r="8" spans="1:12" s="27" customFormat="1">
      <c r="A8" s="37" t="s">
        <v>77</v>
      </c>
      <c r="B8" s="20" t="s">
        <v>61</v>
      </c>
      <c r="C8" s="21">
        <v>209000</v>
      </c>
      <c r="D8" s="339"/>
      <c r="E8" s="46"/>
      <c r="F8" s="46"/>
      <c r="G8" s="46"/>
      <c r="H8" s="46"/>
      <c r="I8" s="46"/>
      <c r="J8" s="10"/>
    </row>
    <row r="9" spans="1:12">
      <c r="A9" s="10" t="s">
        <v>60</v>
      </c>
      <c r="B9" s="26" t="s">
        <v>76</v>
      </c>
      <c r="C9" s="28">
        <f>+C10+C14</f>
        <v>995359000</v>
      </c>
      <c r="D9" s="43"/>
      <c r="E9" s="43"/>
      <c r="F9" s="43"/>
      <c r="G9" s="43"/>
      <c r="H9" s="43"/>
      <c r="I9" s="43"/>
      <c r="J9" s="29"/>
    </row>
    <row r="10" spans="1:12" ht="31.5">
      <c r="A10" s="10" t="s">
        <v>78</v>
      </c>
      <c r="B10" s="26" t="s">
        <v>58</v>
      </c>
      <c r="C10" s="28">
        <f>SUM(C11:C13)</f>
        <v>40036000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29"/>
    </row>
    <row r="12" spans="1:12" s="27" customFormat="1" ht="31.5" customHeight="1">
      <c r="A12" s="38" t="s">
        <v>77</v>
      </c>
      <c r="B12" s="20" t="s">
        <v>63</v>
      </c>
      <c r="C12" s="21">
        <v>9931000</v>
      </c>
      <c r="D12" s="334"/>
      <c r="E12" s="46"/>
      <c r="F12" s="46"/>
      <c r="G12" s="46"/>
      <c r="H12" s="46"/>
      <c r="I12" s="46"/>
      <c r="J12" s="329"/>
    </row>
    <row r="13" spans="1:12" s="27" customFormat="1" ht="31.5" customHeight="1">
      <c r="A13" s="38" t="s">
        <v>77</v>
      </c>
      <c r="B13" s="20" t="s">
        <v>158</v>
      </c>
      <c r="C13" s="21">
        <v>28105000</v>
      </c>
      <c r="D13" s="335"/>
      <c r="E13" s="46"/>
      <c r="F13" s="46"/>
      <c r="G13" s="46"/>
      <c r="H13" s="46"/>
      <c r="I13" s="46"/>
      <c r="J13" s="39"/>
    </row>
    <row r="14" spans="1:12">
      <c r="A14" s="10" t="s">
        <v>81</v>
      </c>
      <c r="B14" s="26" t="s">
        <v>59</v>
      </c>
      <c r="C14" s="28">
        <f>ROUND(SUM(C15:C20),-3)</f>
        <v>955323000</v>
      </c>
      <c r="D14" s="43"/>
      <c r="E14" s="43"/>
      <c r="F14" s="43"/>
      <c r="G14" s="43"/>
      <c r="H14" s="43"/>
      <c r="I14" s="43"/>
      <c r="J14" s="29"/>
    </row>
    <row r="15" spans="1:12" s="33" customFormat="1" ht="35.25" customHeight="1">
      <c r="A15" s="37" t="s">
        <v>77</v>
      </c>
      <c r="B15" s="31" t="s">
        <v>40</v>
      </c>
      <c r="C15" s="21">
        <f>1344000+1642000</f>
        <v>2986000</v>
      </c>
      <c r="D15" s="333" t="s">
        <v>35</v>
      </c>
      <c r="E15" s="44" t="s">
        <v>13</v>
      </c>
      <c r="F15" s="47"/>
      <c r="G15" s="45" t="s">
        <v>56</v>
      </c>
      <c r="H15" s="44" t="s">
        <v>16</v>
      </c>
      <c r="I15" s="45" t="s">
        <v>17</v>
      </c>
      <c r="J15" s="32"/>
    </row>
    <row r="16" spans="1:12" s="33" customFormat="1" ht="35.25" customHeight="1">
      <c r="A16" s="37" t="s">
        <v>77</v>
      </c>
      <c r="B16" s="31" t="s">
        <v>67</v>
      </c>
      <c r="C16" s="21">
        <v>25337000</v>
      </c>
      <c r="D16" s="334"/>
      <c r="E16" s="118" t="s">
        <v>13</v>
      </c>
      <c r="F16" s="22"/>
      <c r="G16" s="119" t="s">
        <v>56</v>
      </c>
      <c r="H16" s="118" t="s">
        <v>16</v>
      </c>
      <c r="I16" s="119" t="s">
        <v>46</v>
      </c>
      <c r="J16" s="34"/>
      <c r="K16" s="35"/>
      <c r="L16" s="35"/>
    </row>
    <row r="17" spans="1:12" s="109" customFormat="1" ht="0.75" customHeight="1">
      <c r="A17" s="101"/>
      <c r="B17" s="102"/>
      <c r="C17" s="103"/>
      <c r="D17" s="334"/>
      <c r="E17" s="104"/>
      <c r="F17" s="105"/>
      <c r="G17" s="106"/>
      <c r="H17" s="104"/>
      <c r="I17" s="106"/>
      <c r="J17" s="107"/>
      <c r="K17" s="108"/>
      <c r="L17" s="108"/>
    </row>
    <row r="18" spans="1:12" s="33" customFormat="1" ht="45">
      <c r="A18" s="37" t="s">
        <v>77</v>
      </c>
      <c r="B18" s="31" t="s">
        <v>68</v>
      </c>
      <c r="C18" s="21">
        <f>862985000+34519000</f>
        <v>897504000</v>
      </c>
      <c r="D18" s="334"/>
      <c r="E18" s="44" t="s">
        <v>13</v>
      </c>
      <c r="F18" s="42" t="s">
        <v>14</v>
      </c>
      <c r="G18" s="45" t="s">
        <v>56</v>
      </c>
      <c r="H18" s="44" t="s">
        <v>16</v>
      </c>
      <c r="I18" s="45" t="s">
        <v>47</v>
      </c>
      <c r="J18" s="36" t="s">
        <v>204</v>
      </c>
      <c r="K18" s="35">
        <v>12122000</v>
      </c>
      <c r="L18" s="35" t="e">
        <f>+J18+K18</f>
        <v>#VALUE!</v>
      </c>
    </row>
    <row r="19" spans="1:12" ht="31.5">
      <c r="A19" s="37" t="s">
        <v>77</v>
      </c>
      <c r="B19" s="20" t="s">
        <v>69</v>
      </c>
      <c r="C19" s="23">
        <v>27641000</v>
      </c>
      <c r="D19" s="334"/>
      <c r="E19" s="47" t="s">
        <v>13</v>
      </c>
      <c r="F19" s="47"/>
      <c r="G19" s="42" t="s">
        <v>56</v>
      </c>
      <c r="H19" s="47" t="s">
        <v>16</v>
      </c>
      <c r="I19" s="42" t="s">
        <v>71</v>
      </c>
      <c r="J19" s="30"/>
      <c r="K19" s="24"/>
      <c r="L19" s="24"/>
    </row>
    <row r="20" spans="1:12">
      <c r="A20" s="37" t="s">
        <v>77</v>
      </c>
      <c r="B20" s="20" t="s">
        <v>70</v>
      </c>
      <c r="C20" s="23">
        <v>1855000</v>
      </c>
      <c r="D20" s="335"/>
      <c r="E20" s="47" t="s">
        <v>13</v>
      </c>
      <c r="F20" s="47"/>
      <c r="G20" s="42" t="s">
        <v>56</v>
      </c>
      <c r="H20" s="47" t="s">
        <v>16</v>
      </c>
      <c r="I20" s="42" t="s">
        <v>46</v>
      </c>
      <c r="J20" s="29"/>
    </row>
    <row r="21" spans="1:12">
      <c r="A21" s="10"/>
      <c r="B21" s="26" t="s">
        <v>64</v>
      </c>
      <c r="C21" s="28">
        <f>ROUND((C5+C9),-3)</f>
        <v>1044831000</v>
      </c>
      <c r="D21" s="43"/>
      <c r="E21" s="43"/>
      <c r="F21" s="43"/>
      <c r="G21" s="43"/>
      <c r="H21" s="43"/>
      <c r="I21" s="43"/>
      <c r="J21" s="29"/>
    </row>
    <row r="27" spans="1:12">
      <c r="C27" s="100">
        <f>+C21-49992000</f>
        <v>994839000</v>
      </c>
      <c r="D27" s="100">
        <f>C27*0.7</f>
        <v>696387300</v>
      </c>
    </row>
    <row r="28" spans="1:12">
      <c r="C28" s="41">
        <f>+C21+257000+249000</f>
        <v>1045337000</v>
      </c>
      <c r="D28" s="40"/>
    </row>
    <row r="29" spans="1:12">
      <c r="C29" s="99">
        <f>+C21+C28</f>
        <v>2090168000</v>
      </c>
      <c r="D29" s="100">
        <f>+C29-704000-682000</f>
        <v>2088782000</v>
      </c>
    </row>
    <row r="31" spans="1:12">
      <c r="C31" s="100">
        <f>C21</f>
        <v>1044831000</v>
      </c>
      <c r="D31" s="100">
        <f>C31-28105000</f>
        <v>1016726000</v>
      </c>
      <c r="E31" s="40"/>
    </row>
    <row r="32" spans="1:12">
      <c r="C32" s="115"/>
      <c r="D32" s="100">
        <f>D31*90%</f>
        <v>915053400</v>
      </c>
    </row>
    <row r="33" spans="3:4">
      <c r="C33" s="115"/>
      <c r="D33" s="115"/>
    </row>
    <row r="53" spans="1:10" ht="31.5" customHeight="1"/>
    <row r="54" spans="1:10" ht="31.5" customHeight="1"/>
    <row r="55" spans="1:10" ht="31.5" hidden="1" customHeight="1"/>
    <row r="56" spans="1:10" ht="33.75" hidden="1" customHeight="1"/>
    <row r="57" spans="1:10" ht="27.75" customHeight="1">
      <c r="A57" s="330" t="s">
        <v>27</v>
      </c>
      <c r="B57" s="330"/>
      <c r="C57" s="330"/>
      <c r="D57" s="330"/>
      <c r="E57" s="330"/>
      <c r="F57" s="330"/>
      <c r="G57" s="330"/>
      <c r="H57" s="330"/>
      <c r="I57" s="330"/>
    </row>
    <row r="58" spans="1:10" ht="16.5">
      <c r="A58" s="331" t="s">
        <v>143</v>
      </c>
      <c r="B58" s="331"/>
      <c r="C58" s="331"/>
      <c r="D58" s="331"/>
      <c r="E58" s="331"/>
      <c r="F58" s="331"/>
      <c r="G58" s="331"/>
      <c r="H58" s="331"/>
      <c r="I58" s="331"/>
    </row>
    <row r="59" spans="1:10" ht="63">
      <c r="A59" s="10" t="s">
        <v>21</v>
      </c>
      <c r="B59" s="10" t="s">
        <v>0</v>
      </c>
      <c r="C59" s="10" t="s">
        <v>83</v>
      </c>
      <c r="D59" s="10" t="s">
        <v>1</v>
      </c>
      <c r="E59" s="10" t="s">
        <v>2</v>
      </c>
      <c r="F59" s="10" t="s">
        <v>3</v>
      </c>
      <c r="G59" s="10" t="s">
        <v>4</v>
      </c>
      <c r="H59" s="10" t="s">
        <v>5</v>
      </c>
      <c r="I59" s="10" t="s">
        <v>6</v>
      </c>
      <c r="J59" s="10" t="s">
        <v>65</v>
      </c>
    </row>
    <row r="60" spans="1:10">
      <c r="A60" s="10" t="s">
        <v>57</v>
      </c>
      <c r="B60" s="26" t="s">
        <v>75</v>
      </c>
      <c r="C60" s="28">
        <f>SUM(C61:C63)</f>
        <v>49472000</v>
      </c>
      <c r="D60" s="10"/>
      <c r="E60" s="43"/>
      <c r="F60" s="43"/>
      <c r="G60" s="43"/>
      <c r="H60" s="43"/>
      <c r="I60" s="43"/>
      <c r="J60" s="29"/>
    </row>
    <row r="61" spans="1:10" s="33" customFormat="1" ht="31.5" customHeight="1">
      <c r="A61" s="37" t="s">
        <v>77</v>
      </c>
      <c r="B61" s="31" t="s">
        <v>127</v>
      </c>
      <c r="C61" s="21">
        <f>45263000</f>
        <v>45263000</v>
      </c>
      <c r="D61" s="339" t="s">
        <v>35</v>
      </c>
      <c r="E61" s="44" t="s">
        <v>13</v>
      </c>
      <c r="F61" s="43"/>
      <c r="G61" s="45"/>
      <c r="H61" s="44" t="s">
        <v>16</v>
      </c>
      <c r="I61" s="45" t="s">
        <v>66</v>
      </c>
      <c r="J61" s="32"/>
    </row>
    <row r="62" spans="1:10" s="27" customFormat="1" ht="31.5">
      <c r="A62" s="37" t="s">
        <v>77</v>
      </c>
      <c r="B62" s="20" t="s">
        <v>80</v>
      </c>
      <c r="C62" s="21">
        <v>4000000</v>
      </c>
      <c r="D62" s="339"/>
      <c r="E62" s="44" t="s">
        <v>13</v>
      </c>
      <c r="F62" s="46"/>
      <c r="G62" s="46"/>
      <c r="H62" s="44" t="s">
        <v>16</v>
      </c>
      <c r="I62" s="45" t="s">
        <v>17</v>
      </c>
      <c r="J62" s="10"/>
    </row>
    <row r="63" spans="1:10" s="27" customFormat="1">
      <c r="A63" s="37" t="s">
        <v>77</v>
      </c>
      <c r="B63" s="20" t="s">
        <v>61</v>
      </c>
      <c r="C63" s="21">
        <v>209000</v>
      </c>
      <c r="D63" s="339"/>
      <c r="E63" s="46"/>
      <c r="F63" s="46"/>
      <c r="G63" s="46"/>
      <c r="H63" s="46"/>
      <c r="I63" s="46"/>
      <c r="J63" s="10"/>
    </row>
    <row r="64" spans="1:10">
      <c r="A64" s="10" t="s">
        <v>60</v>
      </c>
      <c r="B64" s="26" t="s">
        <v>76</v>
      </c>
      <c r="C64" s="28">
        <f>+C65+C69</f>
        <v>995359000</v>
      </c>
      <c r="D64" s="43"/>
      <c r="E64" s="43"/>
      <c r="F64" s="43"/>
      <c r="G64" s="43"/>
      <c r="H64" s="43"/>
      <c r="I64" s="43"/>
      <c r="J64" s="29"/>
    </row>
    <row r="65" spans="1:12" ht="31.5">
      <c r="A65" s="10" t="s">
        <v>78</v>
      </c>
      <c r="B65" s="26" t="s">
        <v>58</v>
      </c>
      <c r="C65" s="28">
        <f>SUM(C66:C68)</f>
        <v>40036000</v>
      </c>
      <c r="D65" s="43"/>
      <c r="E65" s="43"/>
      <c r="F65" s="43"/>
      <c r="G65" s="43"/>
      <c r="H65" s="43"/>
      <c r="I65" s="43"/>
      <c r="J65" s="29"/>
    </row>
    <row r="66" spans="1:12" s="27" customFormat="1" ht="31.5" customHeight="1">
      <c r="A66" s="38" t="s">
        <v>77</v>
      </c>
      <c r="B66" s="20" t="s">
        <v>79</v>
      </c>
      <c r="C66" s="21">
        <v>2000000</v>
      </c>
      <c r="D66" s="333" t="s">
        <v>35</v>
      </c>
      <c r="E66" s="46"/>
      <c r="F66" s="46"/>
      <c r="G66" s="46"/>
      <c r="H66" s="46"/>
      <c r="I66" s="46"/>
      <c r="J66" s="329"/>
    </row>
    <row r="67" spans="1:12" s="27" customFormat="1" ht="31.5" customHeight="1">
      <c r="A67" s="38" t="s">
        <v>77</v>
      </c>
      <c r="B67" s="20" t="s">
        <v>63</v>
      </c>
      <c r="C67" s="21">
        <v>9931000</v>
      </c>
      <c r="D67" s="334"/>
      <c r="E67" s="46"/>
      <c r="F67" s="46"/>
      <c r="G67" s="46"/>
      <c r="H67" s="46"/>
      <c r="I67" s="46"/>
      <c r="J67" s="329"/>
    </row>
    <row r="68" spans="1:12" s="27" customFormat="1" ht="31.5" customHeight="1">
      <c r="A68" s="38" t="s">
        <v>77</v>
      </c>
      <c r="B68" s="20" t="s">
        <v>158</v>
      </c>
      <c r="C68" s="21">
        <v>28105000</v>
      </c>
      <c r="D68" s="335"/>
      <c r="E68" s="46"/>
      <c r="F68" s="46"/>
      <c r="G68" s="46"/>
      <c r="H68" s="46"/>
      <c r="I68" s="46"/>
      <c r="J68" s="39"/>
    </row>
    <row r="69" spans="1:12">
      <c r="A69" s="10" t="s">
        <v>81</v>
      </c>
      <c r="B69" s="26" t="s">
        <v>59</v>
      </c>
      <c r="C69" s="28">
        <f>ROUND(SUM(C70:C75),-3)</f>
        <v>955323000</v>
      </c>
      <c r="D69" s="43"/>
      <c r="E69" s="43"/>
      <c r="F69" s="43"/>
      <c r="G69" s="43"/>
      <c r="H69" s="43"/>
      <c r="I69" s="43"/>
      <c r="J69" s="29"/>
    </row>
    <row r="70" spans="1:12" s="33" customFormat="1" ht="31.5" customHeight="1">
      <c r="A70" s="37" t="s">
        <v>77</v>
      </c>
      <c r="B70" s="31" t="s">
        <v>40</v>
      </c>
      <c r="C70" s="21">
        <f>1344000+1642000</f>
        <v>2986000</v>
      </c>
      <c r="D70" s="333" t="s">
        <v>35</v>
      </c>
      <c r="E70" s="44" t="s">
        <v>13</v>
      </c>
      <c r="F70" s="47"/>
      <c r="G70" s="45" t="s">
        <v>56</v>
      </c>
      <c r="H70" s="44" t="s">
        <v>16</v>
      </c>
      <c r="I70" s="45" t="s">
        <v>17</v>
      </c>
      <c r="J70" s="32"/>
    </row>
    <row r="71" spans="1:12" s="109" customFormat="1" ht="5.25" hidden="1" customHeight="1">
      <c r="A71" s="37" t="s">
        <v>77</v>
      </c>
      <c r="B71" s="31" t="s">
        <v>67</v>
      </c>
      <c r="C71" s="21">
        <v>25337000</v>
      </c>
      <c r="D71" s="334"/>
      <c r="E71" s="118" t="s">
        <v>13</v>
      </c>
      <c r="F71" s="22"/>
      <c r="G71" s="119" t="s">
        <v>56</v>
      </c>
      <c r="H71" s="118" t="s">
        <v>16</v>
      </c>
      <c r="I71" s="119" t="s">
        <v>46</v>
      </c>
      <c r="J71" s="34"/>
      <c r="K71" s="108"/>
      <c r="L71" s="108"/>
    </row>
    <row r="72" spans="1:12" s="33" customFormat="1">
      <c r="A72" s="101"/>
      <c r="B72" s="102"/>
      <c r="C72" s="103"/>
      <c r="D72" s="334"/>
      <c r="E72" s="104"/>
      <c r="F72" s="105"/>
      <c r="G72" s="106"/>
      <c r="H72" s="104"/>
      <c r="I72" s="106"/>
      <c r="J72" s="107"/>
      <c r="K72" s="35">
        <v>12122000</v>
      </c>
      <c r="L72" s="35">
        <f>+J72+K72</f>
        <v>12122000</v>
      </c>
    </row>
    <row r="73" spans="1:12" ht="45">
      <c r="A73" s="37" t="s">
        <v>77</v>
      </c>
      <c r="B73" s="31" t="s">
        <v>68</v>
      </c>
      <c r="C73" s="21">
        <f>862985000+34519000</f>
        <v>897504000</v>
      </c>
      <c r="D73" s="334"/>
      <c r="E73" s="44" t="s">
        <v>13</v>
      </c>
      <c r="F73" s="42" t="s">
        <v>14</v>
      </c>
      <c r="G73" s="45" t="s">
        <v>56</v>
      </c>
      <c r="H73" s="44" t="s">
        <v>16</v>
      </c>
      <c r="I73" s="45" t="s">
        <v>47</v>
      </c>
      <c r="J73" s="36" t="s">
        <v>204</v>
      </c>
      <c r="K73" s="24"/>
      <c r="L73" s="24"/>
    </row>
    <row r="74" spans="1:12" ht="31.5">
      <c r="A74" s="37" t="s">
        <v>77</v>
      </c>
      <c r="B74" s="20" t="s">
        <v>69</v>
      </c>
      <c r="C74" s="23">
        <v>27641000</v>
      </c>
      <c r="D74" s="334"/>
      <c r="E74" s="47" t="s">
        <v>13</v>
      </c>
      <c r="F74" s="47"/>
      <c r="G74" s="42" t="s">
        <v>56</v>
      </c>
      <c r="H74" s="47" t="s">
        <v>16</v>
      </c>
      <c r="I74" s="42" t="s">
        <v>71</v>
      </c>
      <c r="J74" s="30"/>
    </row>
    <row r="75" spans="1:12">
      <c r="A75" s="37" t="s">
        <v>77</v>
      </c>
      <c r="B75" s="20" t="s">
        <v>70</v>
      </c>
      <c r="C75" s="23">
        <v>1855000</v>
      </c>
      <c r="D75" s="335"/>
      <c r="E75" s="47" t="s">
        <v>13</v>
      </c>
      <c r="F75" s="47"/>
      <c r="G75" s="42" t="s">
        <v>56</v>
      </c>
      <c r="H75" s="47" t="s">
        <v>16</v>
      </c>
      <c r="I75" s="42" t="s">
        <v>46</v>
      </c>
      <c r="J75" s="29"/>
    </row>
    <row r="76" spans="1:12">
      <c r="A76" s="10"/>
      <c r="B76" s="26" t="s">
        <v>64</v>
      </c>
      <c r="C76" s="28">
        <f>ROUND((C60+C64),-3)</f>
        <v>1044831000</v>
      </c>
      <c r="D76" s="43"/>
      <c r="E76" s="43"/>
      <c r="F76" s="43"/>
      <c r="G76" s="43"/>
      <c r="H76" s="43"/>
      <c r="I76" s="43"/>
      <c r="J76" s="29"/>
    </row>
  </sheetData>
  <mergeCells count="13">
    <mergeCell ref="A1:I1"/>
    <mergeCell ref="A2:I2"/>
    <mergeCell ref="H3:I3"/>
    <mergeCell ref="D6:D8"/>
    <mergeCell ref="D70:D75"/>
    <mergeCell ref="J66:J67"/>
    <mergeCell ref="J11:J12"/>
    <mergeCell ref="D15:D20"/>
    <mergeCell ref="A57:I57"/>
    <mergeCell ref="D66:D68"/>
    <mergeCell ref="D11:D13"/>
    <mergeCell ref="A58:I58"/>
    <mergeCell ref="D61:D63"/>
  </mergeCells>
  <phoneticPr fontId="4" type="noConversion"/>
  <pageMargins left="0.51" right="0.25" top="0.42" bottom="0.41" header="0.5" footer="0.5"/>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8" workbookViewId="0">
      <selection activeCell="D17" sqref="D17"/>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2" t="s">
        <v>84</v>
      </c>
      <c r="B1" s="353"/>
      <c r="C1" s="353"/>
      <c r="D1" s="353"/>
      <c r="E1" s="353"/>
    </row>
    <row r="2" spans="1:6" ht="15.75" customHeight="1">
      <c r="A2" s="354" t="s">
        <v>85</v>
      </c>
      <c r="B2" s="355"/>
      <c r="C2" s="355"/>
      <c r="D2" s="355"/>
      <c r="E2" s="355"/>
    </row>
    <row r="3" spans="1:6" ht="6" customHeight="1">
      <c r="A3" s="356"/>
      <c r="B3" s="357"/>
      <c r="C3" s="357"/>
      <c r="D3" s="357"/>
      <c r="E3" s="357"/>
    </row>
    <row r="4" spans="1:6" ht="20.25" customHeight="1">
      <c r="A4" s="358" t="s">
        <v>86</v>
      </c>
      <c r="B4" s="359"/>
      <c r="C4" s="359"/>
      <c r="D4" s="359"/>
      <c r="E4" s="359"/>
    </row>
    <row r="5" spans="1:6" ht="6" customHeight="1">
      <c r="A5" s="49"/>
      <c r="B5" s="52"/>
      <c r="C5" s="49"/>
      <c r="D5" s="49"/>
      <c r="E5" s="53"/>
    </row>
    <row r="6" spans="1:6" s="54" customFormat="1" ht="17.25" customHeight="1">
      <c r="A6" s="360" t="s">
        <v>137</v>
      </c>
      <c r="B6" s="360"/>
      <c r="C6" s="360"/>
      <c r="D6" s="360"/>
      <c r="E6" s="360"/>
    </row>
    <row r="7" spans="1:6" s="54" customFormat="1" ht="1.5" hidden="1" customHeight="1">
      <c r="A7" s="361" t="s">
        <v>87</v>
      </c>
      <c r="B7" s="361"/>
      <c r="C7" s="361"/>
      <c r="D7" s="361"/>
      <c r="E7" s="361"/>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1446817000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38617000</v>
      </c>
    </row>
    <row r="16" spans="1:6">
      <c r="A16" s="70">
        <v>3</v>
      </c>
      <c r="B16" s="71" t="s">
        <v>97</v>
      </c>
      <c r="C16" s="72" t="s">
        <v>96</v>
      </c>
      <c r="D16" s="72" t="s">
        <v>135</v>
      </c>
      <c r="E16" s="73">
        <f>ROUND(SUM(E17:E21),-3)</f>
        <v>119113000</v>
      </c>
    </row>
    <row r="17" spans="1:8" ht="16.5" customHeight="1">
      <c r="A17" s="97" t="s">
        <v>77</v>
      </c>
      <c r="B17" s="74" t="s">
        <v>138</v>
      </c>
      <c r="C17" s="75" t="s">
        <v>99</v>
      </c>
      <c r="D17" s="66" t="s">
        <v>126</v>
      </c>
      <c r="E17" s="76">
        <v>22113000</v>
      </c>
    </row>
    <row r="18" spans="1:8" ht="17.100000000000001" customHeight="1">
      <c r="A18" s="97" t="s">
        <v>77</v>
      </c>
      <c r="B18" s="79" t="s">
        <v>131</v>
      </c>
      <c r="C18" s="75" t="s">
        <v>100</v>
      </c>
      <c r="D18" s="66" t="s">
        <v>126</v>
      </c>
      <c r="E18" s="78">
        <v>41985000</v>
      </c>
      <c r="G18" s="80"/>
      <c r="H18" s="81"/>
    </row>
    <row r="19" spans="1:8" ht="17.100000000000001" customHeight="1">
      <c r="A19" s="97" t="s">
        <v>77</v>
      </c>
      <c r="B19" s="79" t="s">
        <v>132</v>
      </c>
      <c r="C19" s="75" t="s">
        <v>101</v>
      </c>
      <c r="D19" s="66" t="s">
        <v>126</v>
      </c>
      <c r="E19" s="78">
        <f>1854000+1813000</f>
        <v>3667000</v>
      </c>
      <c r="G19" s="82"/>
      <c r="H19" s="83"/>
    </row>
    <row r="20" spans="1:8" ht="17.100000000000001" customHeight="1">
      <c r="A20" s="97" t="s">
        <v>77</v>
      </c>
      <c r="B20" s="79" t="s">
        <v>104</v>
      </c>
      <c r="C20" s="75" t="s">
        <v>102</v>
      </c>
      <c r="D20" s="66" t="s">
        <v>126</v>
      </c>
      <c r="E20" s="78">
        <f>2253000+2753000</f>
        <v>5006000</v>
      </c>
    </row>
    <row r="21" spans="1:8" ht="17.100000000000001" customHeight="1">
      <c r="A21" s="97" t="s">
        <v>77</v>
      </c>
      <c r="B21" s="79" t="s">
        <v>105</v>
      </c>
      <c r="C21" s="75" t="s">
        <v>103</v>
      </c>
      <c r="D21" s="66" t="s">
        <v>126</v>
      </c>
      <c r="E21" s="78">
        <v>46342000</v>
      </c>
    </row>
    <row r="22" spans="1:8">
      <c r="A22" s="84" t="s">
        <v>124</v>
      </c>
      <c r="B22" s="71" t="s">
        <v>106</v>
      </c>
      <c r="C22" s="72" t="s">
        <v>98</v>
      </c>
      <c r="D22" s="72" t="s">
        <v>139</v>
      </c>
      <c r="E22" s="73">
        <f>ROUND(SUM(E23:E28),-3)</f>
        <v>79243000</v>
      </c>
    </row>
    <row r="23" spans="1:8" ht="17.100000000000001" customHeight="1">
      <c r="A23" s="98" t="s">
        <v>77</v>
      </c>
      <c r="B23" s="86" t="s">
        <v>108</v>
      </c>
      <c r="C23" s="87" t="s">
        <v>109</v>
      </c>
      <c r="D23" s="66" t="s">
        <v>126</v>
      </c>
      <c r="E23" s="78">
        <v>57873000</v>
      </c>
    </row>
    <row r="24" spans="1:8" ht="17.100000000000001" customHeight="1">
      <c r="A24" s="98" t="s">
        <v>77</v>
      </c>
      <c r="B24" s="79" t="s">
        <v>133</v>
      </c>
      <c r="C24" s="87" t="s">
        <v>110</v>
      </c>
      <c r="D24" s="66" t="s">
        <v>126</v>
      </c>
      <c r="E24" s="78">
        <v>334400</v>
      </c>
    </row>
    <row r="25" spans="1:8" ht="17.100000000000001" customHeight="1">
      <c r="A25" s="98" t="s">
        <v>77</v>
      </c>
      <c r="B25" s="79" t="s">
        <v>112</v>
      </c>
      <c r="C25" s="87" t="s">
        <v>111</v>
      </c>
      <c r="D25" s="66" t="s">
        <v>126</v>
      </c>
      <c r="E25" s="78">
        <v>723000</v>
      </c>
    </row>
    <row r="26" spans="1:8" ht="17.100000000000001" customHeight="1">
      <c r="A26" s="98" t="s">
        <v>77</v>
      </c>
      <c r="B26" s="79" t="s">
        <v>114</v>
      </c>
      <c r="C26" s="87" t="s">
        <v>113</v>
      </c>
      <c r="D26" s="66" t="s">
        <v>126</v>
      </c>
      <c r="E26" s="78">
        <f>+E25</f>
        <v>723000</v>
      </c>
    </row>
    <row r="27" spans="1:8" ht="17.100000000000001" customHeight="1">
      <c r="A27" s="98" t="s">
        <v>77</v>
      </c>
      <c r="B27" s="79" t="s">
        <v>116</v>
      </c>
      <c r="C27" s="87" t="s">
        <v>115</v>
      </c>
      <c r="D27" s="66" t="s">
        <v>126</v>
      </c>
      <c r="E27" s="78">
        <v>16479000</v>
      </c>
    </row>
    <row r="28" spans="1:8" ht="17.100000000000001" customHeight="1">
      <c r="A28" s="98" t="s">
        <v>77</v>
      </c>
      <c r="B28" s="79" t="s">
        <v>118</v>
      </c>
      <c r="C28" s="87" t="s">
        <v>117</v>
      </c>
      <c r="D28" s="66" t="s">
        <v>126</v>
      </c>
      <c r="E28" s="78">
        <v>3111000</v>
      </c>
    </row>
    <row r="29" spans="1:8">
      <c r="A29" s="70">
        <v>5</v>
      </c>
      <c r="B29" s="71" t="s">
        <v>119</v>
      </c>
      <c r="C29" s="72" t="s">
        <v>107</v>
      </c>
      <c r="D29" s="72" t="s">
        <v>120</v>
      </c>
      <c r="E29" s="73">
        <f>+E30</f>
        <v>49992000</v>
      </c>
    </row>
    <row r="30" spans="1:8" ht="17.100000000000001" customHeight="1">
      <c r="A30" s="85" t="s">
        <v>121</v>
      </c>
      <c r="B30" s="79" t="s">
        <v>122</v>
      </c>
      <c r="C30" s="77" t="s">
        <v>120</v>
      </c>
      <c r="D30" s="66" t="s">
        <v>126</v>
      </c>
      <c r="E30" s="78">
        <v>49992000</v>
      </c>
    </row>
    <row r="31" spans="1:8" ht="18.75" customHeight="1">
      <c r="A31" s="88"/>
      <c r="B31" s="71" t="s">
        <v>125</v>
      </c>
      <c r="C31" s="72" t="s">
        <v>123</v>
      </c>
      <c r="D31" s="72" t="s">
        <v>136</v>
      </c>
      <c r="E31" s="73">
        <f>+E10+E15+E16+E22+E29</f>
        <v>1733782000</v>
      </c>
      <c r="F31" s="63"/>
    </row>
    <row r="32" spans="1:8" ht="9.75" customHeight="1" thickBot="1">
      <c r="A32" s="89" t="s">
        <v>121</v>
      </c>
      <c r="B32" s="90" t="s">
        <v>121</v>
      </c>
      <c r="C32" s="91" t="s">
        <v>121</v>
      </c>
      <c r="D32" s="91" t="s">
        <v>121</v>
      </c>
      <c r="E32" s="92"/>
    </row>
    <row r="33" spans="1:5" ht="10.5" customHeight="1"/>
    <row r="34" spans="1:5">
      <c r="B34" s="93"/>
      <c r="D34" s="367"/>
      <c r="E34" s="368"/>
    </row>
    <row r="35" spans="1:5">
      <c r="B35" s="48"/>
      <c r="C35" s="352"/>
      <c r="D35" s="352"/>
      <c r="E35" s="352"/>
    </row>
    <row r="36" spans="1:5">
      <c r="A36" s="95"/>
      <c r="D36" s="352"/>
      <c r="E36" s="353"/>
    </row>
    <row r="37" spans="1:5" ht="6.75" customHeight="1">
      <c r="B37" s="93"/>
      <c r="D37" s="51"/>
    </row>
    <row r="38" spans="1:5" ht="20.25" customHeight="1">
      <c r="B38" s="93"/>
      <c r="D38" s="51"/>
    </row>
    <row r="39" spans="1:5" ht="14.25" customHeight="1">
      <c r="B39" s="93"/>
      <c r="D39" s="51"/>
    </row>
    <row r="40" spans="1:5">
      <c r="A40" s="369"/>
      <c r="B40" s="369"/>
      <c r="C40" s="369"/>
      <c r="D40" s="352"/>
      <c r="E40" s="353"/>
    </row>
    <row r="41" spans="1:5" ht="33" customHeight="1">
      <c r="A41" s="351"/>
      <c r="B41" s="351"/>
      <c r="C41" s="351"/>
      <c r="D41" s="352"/>
      <c r="E41" s="353"/>
    </row>
  </sheetData>
  <mergeCells count="13">
    <mergeCell ref="A41:C41"/>
    <mergeCell ref="D41:E41"/>
    <mergeCell ref="C35:E35"/>
    <mergeCell ref="D36:E36"/>
    <mergeCell ref="A40:C40"/>
    <mergeCell ref="D40:E40"/>
    <mergeCell ref="A6:E6"/>
    <mergeCell ref="A7:E7"/>
    <mergeCell ref="D34:E34"/>
    <mergeCell ref="A1:E1"/>
    <mergeCell ref="A2:E2"/>
    <mergeCell ref="A3:E3"/>
    <mergeCell ref="A4:E4"/>
  </mergeCells>
  <phoneticPr fontId="4" type="noConversion"/>
  <pageMargins left="0.75" right="0.26" top="0.6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16" workbookViewId="0">
      <selection activeCell="D37" sqref="D3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68099400</v>
      </c>
      <c r="D5" s="10"/>
      <c r="E5" s="43"/>
      <c r="F5" s="43"/>
      <c r="G5" s="43"/>
      <c r="H5" s="43"/>
      <c r="I5" s="43"/>
      <c r="J5" s="29"/>
    </row>
    <row r="6" spans="1:12" s="33" customFormat="1" ht="31.5" customHeight="1">
      <c r="A6" s="37" t="s">
        <v>77</v>
      </c>
      <c r="B6" s="31" t="s">
        <v>127</v>
      </c>
      <c r="C6" s="21">
        <f>22113000+41985000</f>
        <v>64098000</v>
      </c>
      <c r="D6" s="339" t="s">
        <v>35</v>
      </c>
      <c r="E6" s="44" t="s">
        <v>13</v>
      </c>
      <c r="F6" s="43"/>
      <c r="G6" s="45"/>
      <c r="H6" s="44" t="s">
        <v>16</v>
      </c>
      <c r="I6" s="45" t="s">
        <v>66</v>
      </c>
      <c r="J6" s="32"/>
    </row>
    <row r="7" spans="1:12" s="27" customFormat="1">
      <c r="A7" s="37" t="s">
        <v>77</v>
      </c>
      <c r="B7" s="20" t="s">
        <v>80</v>
      </c>
      <c r="C7" s="21">
        <f>1854000+1813000</f>
        <v>3667000</v>
      </c>
      <c r="D7" s="339"/>
      <c r="E7" s="44" t="s">
        <v>13</v>
      </c>
      <c r="F7" s="46"/>
      <c r="G7" s="46"/>
      <c r="H7" s="44" t="s">
        <v>16</v>
      </c>
      <c r="I7" s="45" t="s">
        <v>17</v>
      </c>
      <c r="J7" s="10"/>
    </row>
    <row r="8" spans="1:12" s="27" customFormat="1">
      <c r="A8" s="37" t="s">
        <v>77</v>
      </c>
      <c r="B8" s="20" t="s">
        <v>61</v>
      </c>
      <c r="C8" s="21">
        <v>334400</v>
      </c>
      <c r="D8" s="339"/>
      <c r="E8" s="46"/>
      <c r="F8" s="46"/>
      <c r="G8" s="46"/>
      <c r="H8" s="46"/>
      <c r="I8" s="46"/>
      <c r="J8" s="10"/>
    </row>
    <row r="9" spans="1:12">
      <c r="A9" s="10" t="s">
        <v>60</v>
      </c>
      <c r="B9" s="26" t="s">
        <v>76</v>
      </c>
      <c r="C9" s="28">
        <f>+C10+C14</f>
        <v>1665683000</v>
      </c>
      <c r="D9" s="43"/>
      <c r="E9" s="43"/>
      <c r="F9" s="43"/>
      <c r="G9" s="43"/>
      <c r="H9" s="43"/>
      <c r="I9" s="43"/>
      <c r="J9" s="29"/>
    </row>
    <row r="10" spans="1:12" ht="31.5">
      <c r="A10" s="10" t="s">
        <v>78</v>
      </c>
      <c r="B10" s="26" t="s">
        <v>58</v>
      </c>
      <c r="C10" s="28">
        <f>SUM(C11:C13)</f>
        <v>67917000</v>
      </c>
      <c r="D10" s="43"/>
      <c r="E10" s="43"/>
      <c r="F10" s="43"/>
      <c r="G10" s="43"/>
      <c r="H10" s="43"/>
      <c r="I10" s="43"/>
      <c r="J10" s="29"/>
    </row>
    <row r="11" spans="1:12" s="27" customFormat="1" ht="31.5" customHeight="1">
      <c r="A11" s="38" t="s">
        <v>77</v>
      </c>
      <c r="B11" s="20" t="s">
        <v>79</v>
      </c>
      <c r="C11" s="21">
        <f>723000*2</f>
        <v>1446000</v>
      </c>
      <c r="D11" s="333" t="s">
        <v>35</v>
      </c>
      <c r="E11" s="46"/>
      <c r="F11" s="46"/>
      <c r="G11" s="46"/>
      <c r="H11" s="46"/>
      <c r="I11" s="46"/>
      <c r="J11" s="329"/>
    </row>
    <row r="12" spans="1:12" s="27" customFormat="1" ht="31.5" customHeight="1">
      <c r="A12" s="38" t="s">
        <v>77</v>
      </c>
      <c r="B12" s="20" t="s">
        <v>158</v>
      </c>
      <c r="C12" s="21">
        <v>49992000</v>
      </c>
      <c r="D12" s="334"/>
      <c r="E12" s="46"/>
      <c r="F12" s="46"/>
      <c r="G12" s="46"/>
      <c r="H12" s="46"/>
      <c r="I12" s="46"/>
      <c r="J12" s="329"/>
    </row>
    <row r="13" spans="1:12">
      <c r="A13" s="38" t="s">
        <v>77</v>
      </c>
      <c r="B13" s="20" t="s">
        <v>63</v>
      </c>
      <c r="C13" s="21">
        <v>16479000</v>
      </c>
      <c r="D13" s="335"/>
      <c r="E13" s="46"/>
      <c r="F13" s="46"/>
      <c r="G13" s="46"/>
      <c r="H13" s="46"/>
      <c r="I13" s="46"/>
      <c r="J13" s="329"/>
    </row>
    <row r="14" spans="1:12" s="33" customFormat="1" ht="31.5" customHeight="1">
      <c r="A14" s="10" t="s">
        <v>81</v>
      </c>
      <c r="B14" s="26" t="s">
        <v>59</v>
      </c>
      <c r="C14" s="28">
        <f>ROUND(SUM(C15:C19),-3)</f>
        <v>1597766000</v>
      </c>
      <c r="D14" s="43"/>
      <c r="E14" s="43"/>
      <c r="F14" s="43"/>
      <c r="G14" s="43"/>
      <c r="H14" s="43"/>
      <c r="I14" s="43"/>
      <c r="J14" s="29"/>
    </row>
    <row r="15" spans="1:12" s="33" customFormat="1" ht="31.5">
      <c r="A15" s="37" t="s">
        <v>77</v>
      </c>
      <c r="B15" s="31" t="s">
        <v>40</v>
      </c>
      <c r="C15" s="21">
        <f>2253000+2753000</f>
        <v>5006000</v>
      </c>
      <c r="D15" s="333" t="s">
        <v>35</v>
      </c>
      <c r="E15" s="44" t="s">
        <v>13</v>
      </c>
      <c r="F15" s="47"/>
      <c r="G15" s="45" t="s">
        <v>56</v>
      </c>
      <c r="H15" s="44" t="s">
        <v>16</v>
      </c>
      <c r="I15" s="45" t="s">
        <v>17</v>
      </c>
      <c r="J15" s="32"/>
      <c r="K15" s="35"/>
      <c r="L15" s="35"/>
    </row>
    <row r="16" spans="1:12" s="33" customFormat="1">
      <c r="A16" s="37" t="s">
        <v>77</v>
      </c>
      <c r="B16" s="31" t="s">
        <v>67</v>
      </c>
      <c r="C16" s="21">
        <v>38617000</v>
      </c>
      <c r="D16" s="334"/>
      <c r="E16" s="44" t="s">
        <v>13</v>
      </c>
      <c r="F16" s="47"/>
      <c r="G16" s="45" t="s">
        <v>56</v>
      </c>
      <c r="H16" s="44" t="s">
        <v>16</v>
      </c>
      <c r="I16" s="45" t="s">
        <v>46</v>
      </c>
      <c r="J16" s="34"/>
      <c r="K16" s="35">
        <v>12122000</v>
      </c>
      <c r="L16" s="35">
        <f>+J16+K16</f>
        <v>12122000</v>
      </c>
    </row>
    <row r="17" spans="1:12" ht="45">
      <c r="A17" s="37" t="s">
        <v>77</v>
      </c>
      <c r="B17" s="31" t="s">
        <v>68</v>
      </c>
      <c r="C17" s="21">
        <f>1446817000+57873000</f>
        <v>1504690000</v>
      </c>
      <c r="D17" s="334"/>
      <c r="E17" s="44" t="s">
        <v>72</v>
      </c>
      <c r="F17" s="42" t="s">
        <v>14</v>
      </c>
      <c r="G17" s="45" t="s">
        <v>56</v>
      </c>
      <c r="H17" s="44" t="s">
        <v>16</v>
      </c>
      <c r="I17" s="45" t="s">
        <v>130</v>
      </c>
      <c r="J17" s="36" t="s">
        <v>204</v>
      </c>
      <c r="K17" s="24"/>
      <c r="L17" s="24"/>
    </row>
    <row r="18" spans="1:12" ht="31.5">
      <c r="A18" s="37" t="s">
        <v>77</v>
      </c>
      <c r="B18" s="20" t="s">
        <v>69</v>
      </c>
      <c r="C18" s="23">
        <v>46342000</v>
      </c>
      <c r="D18" s="334"/>
      <c r="E18" s="47" t="s">
        <v>13</v>
      </c>
      <c r="F18" s="47"/>
      <c r="G18" s="42" t="s">
        <v>56</v>
      </c>
      <c r="H18" s="47" t="s">
        <v>16</v>
      </c>
      <c r="I18" s="42" t="s">
        <v>71</v>
      </c>
      <c r="J18" s="30"/>
    </row>
    <row r="19" spans="1:12">
      <c r="A19" s="37" t="s">
        <v>77</v>
      </c>
      <c r="B19" s="20" t="s">
        <v>70</v>
      </c>
      <c r="C19" s="23">
        <v>3111000</v>
      </c>
      <c r="D19" s="335"/>
      <c r="E19" s="47" t="s">
        <v>13</v>
      </c>
      <c r="F19" s="47"/>
      <c r="G19" s="42" t="s">
        <v>56</v>
      </c>
      <c r="H19" s="47" t="s">
        <v>16</v>
      </c>
      <c r="I19" s="42" t="s">
        <v>46</v>
      </c>
      <c r="J19" s="29"/>
    </row>
    <row r="20" spans="1:12">
      <c r="A20" s="10"/>
      <c r="B20" s="26" t="s">
        <v>64</v>
      </c>
      <c r="C20" s="28">
        <f>ROUND((C5+C9),-3)</f>
        <v>1733782000</v>
      </c>
      <c r="D20" s="43"/>
      <c r="E20" s="43"/>
      <c r="F20" s="43"/>
      <c r="G20" s="43"/>
      <c r="H20" s="43"/>
      <c r="I20" s="43"/>
      <c r="J20" s="29"/>
    </row>
    <row r="25" spans="1:12">
      <c r="C25" s="100">
        <f>+C19-49992000</f>
        <v>-46881000</v>
      </c>
      <c r="D25" s="100">
        <f>C25*0.7</f>
        <v>-32816699.999999996</v>
      </c>
    </row>
    <row r="26" spans="1:12">
      <c r="C26" s="41">
        <f>+C19+446000+433000</f>
        <v>3990000</v>
      </c>
      <c r="D26" s="40"/>
    </row>
    <row r="27" spans="1:12">
      <c r="C27" s="99">
        <f>+C19+C26</f>
        <v>7101000</v>
      </c>
      <c r="D27" s="100">
        <f>+C27-704000-682000</f>
        <v>5715000</v>
      </c>
    </row>
    <row r="51" spans="1:10" ht="31.5" customHeight="1"/>
    <row r="52" spans="1:10" ht="31.5" customHeight="1"/>
    <row r="53" spans="1:10" ht="31.5" customHeight="1"/>
    <row r="54" spans="1:10" ht="51.75" customHeight="1"/>
    <row r="55" spans="1:10" ht="16.5">
      <c r="A55" s="330" t="s">
        <v>27</v>
      </c>
      <c r="B55" s="330"/>
      <c r="C55" s="330"/>
      <c r="D55" s="330"/>
      <c r="E55" s="330"/>
      <c r="F55" s="330"/>
      <c r="G55" s="330"/>
      <c r="H55" s="330"/>
      <c r="I55" s="330"/>
    </row>
    <row r="56" spans="1:10" ht="16.5">
      <c r="A56" s="331" t="s">
        <v>140</v>
      </c>
      <c r="B56" s="331"/>
      <c r="C56" s="331"/>
      <c r="D56" s="331"/>
      <c r="E56" s="331"/>
      <c r="F56" s="331"/>
      <c r="G56" s="331"/>
      <c r="H56" s="331"/>
      <c r="I56" s="331"/>
    </row>
    <row r="57" spans="1:10" ht="63">
      <c r="A57" s="10" t="s">
        <v>21</v>
      </c>
      <c r="B57" s="10" t="s">
        <v>0</v>
      </c>
      <c r="C57" s="10" t="s">
        <v>83</v>
      </c>
      <c r="D57" s="10" t="s">
        <v>1</v>
      </c>
      <c r="E57" s="10" t="s">
        <v>2</v>
      </c>
      <c r="F57" s="10" t="s">
        <v>3</v>
      </c>
      <c r="G57" s="10" t="s">
        <v>4</v>
      </c>
      <c r="H57" s="10" t="s">
        <v>5</v>
      </c>
      <c r="I57" s="10" t="s">
        <v>6</v>
      </c>
      <c r="J57" s="10" t="s">
        <v>65</v>
      </c>
    </row>
    <row r="58" spans="1:10">
      <c r="A58" s="10" t="s">
        <v>57</v>
      </c>
      <c r="B58" s="26" t="s">
        <v>75</v>
      </c>
      <c r="C58" s="28">
        <f>SUM(C59:C61)</f>
        <v>68099400</v>
      </c>
      <c r="D58" s="10"/>
      <c r="E58" s="43"/>
      <c r="F58" s="43"/>
      <c r="G58" s="43"/>
      <c r="H58" s="43"/>
      <c r="I58" s="43"/>
      <c r="J58" s="29"/>
    </row>
    <row r="59" spans="1:10" s="33" customFormat="1" ht="31.5">
      <c r="A59" s="37" t="s">
        <v>77</v>
      </c>
      <c r="B59" s="31" t="s">
        <v>127</v>
      </c>
      <c r="C59" s="21">
        <f>22113000+41985000</f>
        <v>64098000</v>
      </c>
      <c r="D59" s="339" t="s">
        <v>35</v>
      </c>
      <c r="E59" s="44" t="s">
        <v>13</v>
      </c>
      <c r="F59" s="43"/>
      <c r="G59" s="45"/>
      <c r="H59" s="44" t="s">
        <v>16</v>
      </c>
      <c r="I59" s="45" t="s">
        <v>66</v>
      </c>
      <c r="J59" s="32"/>
    </row>
    <row r="60" spans="1:10" s="27" customFormat="1" ht="31.5">
      <c r="A60" s="37" t="s">
        <v>77</v>
      </c>
      <c r="B60" s="20" t="s">
        <v>80</v>
      </c>
      <c r="C60" s="21">
        <f>1854000+1813000</f>
        <v>3667000</v>
      </c>
      <c r="D60" s="339"/>
      <c r="E60" s="44" t="s">
        <v>13</v>
      </c>
      <c r="F60" s="46"/>
      <c r="G60" s="46"/>
      <c r="H60" s="44" t="s">
        <v>16</v>
      </c>
      <c r="I60" s="45" t="s">
        <v>17</v>
      </c>
      <c r="J60" s="10"/>
    </row>
    <row r="61" spans="1:10" s="27" customFormat="1">
      <c r="A61" s="37" t="s">
        <v>77</v>
      </c>
      <c r="B61" s="20" t="s">
        <v>61</v>
      </c>
      <c r="C61" s="21">
        <v>334400</v>
      </c>
      <c r="D61" s="339"/>
      <c r="E61" s="46"/>
      <c r="F61" s="46"/>
      <c r="G61" s="46"/>
      <c r="H61" s="46"/>
      <c r="I61" s="46"/>
      <c r="J61" s="10"/>
    </row>
    <row r="62" spans="1:10">
      <c r="A62" s="10" t="s">
        <v>60</v>
      </c>
      <c r="B62" s="26" t="s">
        <v>76</v>
      </c>
      <c r="C62" s="28">
        <f>+C63+C67</f>
        <v>1665683000</v>
      </c>
      <c r="D62" s="43"/>
      <c r="E62" s="43"/>
      <c r="F62" s="43"/>
      <c r="G62" s="43"/>
      <c r="H62" s="43"/>
      <c r="I62" s="43"/>
      <c r="J62" s="29"/>
    </row>
    <row r="63" spans="1:10" ht="31.5">
      <c r="A63" s="10" t="s">
        <v>78</v>
      </c>
      <c r="B63" s="26" t="s">
        <v>58</v>
      </c>
      <c r="C63" s="28">
        <f>SUM(C64:C66)</f>
        <v>67917000</v>
      </c>
      <c r="D63" s="43"/>
      <c r="E63" s="43"/>
      <c r="F63" s="43"/>
      <c r="G63" s="43"/>
      <c r="H63" s="43"/>
      <c r="I63" s="43"/>
      <c r="J63" s="29"/>
    </row>
    <row r="64" spans="1:10" s="27" customFormat="1" ht="31.5" customHeight="1">
      <c r="A64" s="38" t="s">
        <v>77</v>
      </c>
      <c r="B64" s="20" t="s">
        <v>79</v>
      </c>
      <c r="C64" s="21">
        <f>723000*2</f>
        <v>1446000</v>
      </c>
      <c r="D64" s="333" t="s">
        <v>35</v>
      </c>
      <c r="E64" s="46"/>
      <c r="F64" s="46"/>
      <c r="G64" s="46"/>
      <c r="H64" s="46"/>
      <c r="I64" s="46"/>
      <c r="J64" s="329"/>
    </row>
    <row r="65" spans="1:12" s="27" customFormat="1" ht="31.5" customHeight="1">
      <c r="A65" s="38" t="s">
        <v>77</v>
      </c>
      <c r="B65" s="20" t="s">
        <v>158</v>
      </c>
      <c r="C65" s="21">
        <v>49992000</v>
      </c>
      <c r="D65" s="334"/>
      <c r="E65" s="46"/>
      <c r="F65" s="46"/>
      <c r="G65" s="46"/>
      <c r="H65" s="46"/>
      <c r="I65" s="46"/>
      <c r="J65" s="329"/>
    </row>
    <row r="66" spans="1:12" s="27" customFormat="1" ht="31.5" customHeight="1">
      <c r="A66" s="38" t="s">
        <v>77</v>
      </c>
      <c r="B66" s="20" t="s">
        <v>63</v>
      </c>
      <c r="C66" s="21">
        <v>16479000</v>
      </c>
      <c r="D66" s="335"/>
      <c r="E66" s="46"/>
      <c r="F66" s="46"/>
      <c r="G66" s="46"/>
      <c r="H66" s="46"/>
      <c r="I66" s="46"/>
      <c r="J66" s="329"/>
    </row>
    <row r="67" spans="1:12">
      <c r="A67" s="10" t="s">
        <v>81</v>
      </c>
      <c r="B67" s="26" t="s">
        <v>59</v>
      </c>
      <c r="C67" s="28">
        <f>ROUND(SUM(C68:C72),-3)</f>
        <v>1597766000</v>
      </c>
      <c r="D67" s="43"/>
      <c r="E67" s="43"/>
      <c r="F67" s="43"/>
      <c r="G67" s="43"/>
      <c r="H67" s="43"/>
      <c r="I67" s="43"/>
      <c r="J67" s="29"/>
    </row>
    <row r="68" spans="1:12" s="33" customFormat="1" ht="31.5">
      <c r="A68" s="37" t="s">
        <v>77</v>
      </c>
      <c r="B68" s="31" t="s">
        <v>40</v>
      </c>
      <c r="C68" s="21">
        <f>2253000+2753000</f>
        <v>5006000</v>
      </c>
      <c r="D68" s="333" t="s">
        <v>35</v>
      </c>
      <c r="E68" s="44" t="s">
        <v>13</v>
      </c>
      <c r="F68" s="47"/>
      <c r="G68" s="45" t="s">
        <v>56</v>
      </c>
      <c r="H68" s="44" t="s">
        <v>16</v>
      </c>
      <c r="I68" s="45" t="s">
        <v>17</v>
      </c>
      <c r="J68" s="32"/>
    </row>
    <row r="69" spans="1:12" s="33" customFormat="1">
      <c r="A69" s="37" t="s">
        <v>77</v>
      </c>
      <c r="B69" s="31" t="s">
        <v>67</v>
      </c>
      <c r="C69" s="21">
        <v>38617000</v>
      </c>
      <c r="D69" s="334"/>
      <c r="E69" s="44" t="s">
        <v>13</v>
      </c>
      <c r="F69" s="47"/>
      <c r="G69" s="45" t="s">
        <v>56</v>
      </c>
      <c r="H69" s="44" t="s">
        <v>16</v>
      </c>
      <c r="I69" s="45" t="s">
        <v>46</v>
      </c>
      <c r="J69" s="34"/>
      <c r="K69" s="35"/>
      <c r="L69" s="35"/>
    </row>
    <row r="70" spans="1:12" s="33" customFormat="1" ht="45">
      <c r="A70" s="37" t="s">
        <v>77</v>
      </c>
      <c r="B70" s="31" t="s">
        <v>68</v>
      </c>
      <c r="C70" s="21">
        <f>1446817000+57873000</f>
        <v>1504690000</v>
      </c>
      <c r="D70" s="334"/>
      <c r="E70" s="44" t="s">
        <v>72</v>
      </c>
      <c r="F70" s="42" t="s">
        <v>14</v>
      </c>
      <c r="G70" s="45" t="s">
        <v>56</v>
      </c>
      <c r="H70" s="44" t="s">
        <v>16</v>
      </c>
      <c r="I70" s="45" t="s">
        <v>130</v>
      </c>
      <c r="J70" s="36" t="s">
        <v>204</v>
      </c>
      <c r="K70" s="35">
        <v>12122000</v>
      </c>
      <c r="L70" s="35" t="e">
        <f>+J70+K70</f>
        <v>#VALUE!</v>
      </c>
    </row>
    <row r="71" spans="1:12" ht="31.5">
      <c r="A71" s="37" t="s">
        <v>77</v>
      </c>
      <c r="B71" s="20" t="s">
        <v>69</v>
      </c>
      <c r="C71" s="23">
        <v>46342000</v>
      </c>
      <c r="D71" s="334"/>
      <c r="E71" s="47" t="s">
        <v>13</v>
      </c>
      <c r="F71" s="47"/>
      <c r="G71" s="42" t="s">
        <v>56</v>
      </c>
      <c r="H71" s="47" t="s">
        <v>16</v>
      </c>
      <c r="I71" s="42" t="s">
        <v>71</v>
      </c>
      <c r="J71" s="30"/>
      <c r="K71" s="24"/>
      <c r="L71" s="24"/>
    </row>
    <row r="72" spans="1:12">
      <c r="A72" s="37" t="s">
        <v>77</v>
      </c>
      <c r="B72" s="20" t="s">
        <v>70</v>
      </c>
      <c r="C72" s="23">
        <v>3111000</v>
      </c>
      <c r="D72" s="335"/>
      <c r="E72" s="47" t="s">
        <v>13</v>
      </c>
      <c r="F72" s="47"/>
      <c r="G72" s="42" t="s">
        <v>56</v>
      </c>
      <c r="H72" s="47" t="s">
        <v>16</v>
      </c>
      <c r="I72" s="42" t="s">
        <v>46</v>
      </c>
      <c r="J72" s="29"/>
    </row>
    <row r="73" spans="1:12">
      <c r="A73" s="10"/>
      <c r="B73" s="26" t="s">
        <v>64</v>
      </c>
      <c r="C73" s="28">
        <f>ROUND((C58+C62),-3)</f>
        <v>1733782000</v>
      </c>
      <c r="D73" s="43"/>
      <c r="E73" s="43"/>
      <c r="F73" s="43"/>
      <c r="G73" s="43"/>
      <c r="H73" s="43"/>
      <c r="I73" s="43"/>
      <c r="J73" s="29"/>
    </row>
  </sheetData>
  <mergeCells count="13">
    <mergeCell ref="D68:D72"/>
    <mergeCell ref="A56:I56"/>
    <mergeCell ref="D59:D61"/>
    <mergeCell ref="D64:D66"/>
    <mergeCell ref="A1:I1"/>
    <mergeCell ref="A2:I2"/>
    <mergeCell ref="H3:I3"/>
    <mergeCell ref="D6:D8"/>
    <mergeCell ref="J64:J66"/>
    <mergeCell ref="A55:I55"/>
    <mergeCell ref="D11:D13"/>
    <mergeCell ref="J11:J13"/>
    <mergeCell ref="D15:D19"/>
  </mergeCells>
  <phoneticPr fontId="4" type="noConversion"/>
  <pageMargins left="0.4" right="0.27" top="0.45" bottom="0.22" header="0.5" footer="0.5"/>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50" workbookViewId="0">
      <selection activeCell="D65" sqref="D65:D6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196889000</v>
      </c>
      <c r="D5" s="10"/>
      <c r="E5" s="43"/>
      <c r="F5" s="43"/>
      <c r="G5" s="43"/>
      <c r="H5" s="43"/>
      <c r="I5" s="43"/>
      <c r="J5" s="29"/>
    </row>
    <row r="6" spans="1:12" s="33" customFormat="1" ht="31.5">
      <c r="A6" s="37" t="s">
        <v>77</v>
      </c>
      <c r="B6" s="31" t="s">
        <v>129</v>
      </c>
      <c r="C6" s="21">
        <f>32519000+145978000</f>
        <v>178497000</v>
      </c>
      <c r="D6" s="339" t="s">
        <v>35</v>
      </c>
      <c r="E6" s="44" t="s">
        <v>13</v>
      </c>
      <c r="F6" s="43"/>
      <c r="G6" s="45"/>
      <c r="H6" s="44" t="s">
        <v>16</v>
      </c>
      <c r="I6" s="45" t="s">
        <v>66</v>
      </c>
      <c r="J6" s="32"/>
    </row>
    <row r="7" spans="1:12" s="27" customFormat="1">
      <c r="A7" s="37" t="s">
        <v>77</v>
      </c>
      <c r="B7" s="20" t="s">
        <v>80</v>
      </c>
      <c r="C7" s="21">
        <v>17727000</v>
      </c>
      <c r="D7" s="339"/>
      <c r="E7" s="44" t="s">
        <v>13</v>
      </c>
      <c r="F7" s="46"/>
      <c r="G7" s="46"/>
      <c r="H7" s="44" t="s">
        <v>16</v>
      </c>
      <c r="I7" s="45" t="s">
        <v>17</v>
      </c>
      <c r="J7" s="10"/>
    </row>
    <row r="8" spans="1:12" s="27" customFormat="1">
      <c r="A8" s="37" t="s">
        <v>77</v>
      </c>
      <c r="B8" s="20" t="s">
        <v>61</v>
      </c>
      <c r="C8" s="21">
        <f>665000</f>
        <v>665000</v>
      </c>
      <c r="D8" s="339"/>
      <c r="E8" s="46"/>
      <c r="F8" s="46"/>
      <c r="G8" s="46"/>
      <c r="H8" s="46"/>
      <c r="I8" s="46"/>
      <c r="J8" s="10"/>
    </row>
    <row r="9" spans="1:12">
      <c r="A9" s="10" t="s">
        <v>60</v>
      </c>
      <c r="B9" s="26" t="s">
        <v>76</v>
      </c>
      <c r="C9" s="28">
        <f>+C10+C14</f>
        <v>3303111000</v>
      </c>
      <c r="D9" s="43"/>
      <c r="E9" s="43"/>
      <c r="F9" s="43"/>
      <c r="G9" s="43"/>
      <c r="H9" s="43"/>
      <c r="I9" s="43"/>
      <c r="J9" s="29"/>
    </row>
    <row r="10" spans="1:12" ht="31.5">
      <c r="A10" s="10" t="s">
        <v>78</v>
      </c>
      <c r="B10" s="26" t="s">
        <v>58</v>
      </c>
      <c r="C10" s="28">
        <f>SUM(C11:C13)</f>
        <v>91278000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29"/>
    </row>
    <row r="12" spans="1:12" s="27" customFormat="1" ht="31.5" customHeight="1">
      <c r="A12" s="38" t="s">
        <v>77</v>
      </c>
      <c r="B12" s="20" t="s">
        <v>158</v>
      </c>
      <c r="C12" s="21">
        <v>56028000</v>
      </c>
      <c r="D12" s="334"/>
      <c r="E12" s="46"/>
      <c r="F12" s="46"/>
      <c r="G12" s="46"/>
      <c r="H12" s="46"/>
      <c r="I12" s="46"/>
      <c r="J12" s="329"/>
    </row>
    <row r="13" spans="1:12" s="27" customFormat="1" ht="31.5" customHeight="1">
      <c r="A13" s="38" t="s">
        <v>77</v>
      </c>
      <c r="B13" s="20" t="s">
        <v>63</v>
      </c>
      <c r="C13" s="21">
        <v>33250000</v>
      </c>
      <c r="D13" s="335"/>
      <c r="E13" s="46"/>
      <c r="F13" s="46"/>
      <c r="G13" s="46"/>
      <c r="H13" s="46"/>
      <c r="I13" s="46"/>
      <c r="J13" s="329"/>
    </row>
    <row r="14" spans="1:12">
      <c r="A14" s="10" t="s">
        <v>81</v>
      </c>
      <c r="B14" s="26" t="s">
        <v>59</v>
      </c>
      <c r="C14" s="28">
        <f>ROUND(SUM(C15:C19),-3)</f>
        <v>3211833000</v>
      </c>
      <c r="D14" s="43"/>
      <c r="E14" s="43"/>
      <c r="F14" s="43"/>
      <c r="G14" s="43"/>
      <c r="H14" s="43"/>
      <c r="I14" s="43"/>
      <c r="J14" s="29"/>
    </row>
    <row r="15" spans="1:12" s="33" customFormat="1" ht="31.5">
      <c r="A15" s="37" t="s">
        <v>77</v>
      </c>
      <c r="B15" s="31" t="s">
        <v>40</v>
      </c>
      <c r="C15" s="21">
        <f>5653000+6909000</f>
        <v>12562000</v>
      </c>
      <c r="D15" s="333" t="s">
        <v>35</v>
      </c>
      <c r="E15" s="44" t="s">
        <v>13</v>
      </c>
      <c r="F15" s="47"/>
      <c r="G15" s="45" t="s">
        <v>56</v>
      </c>
      <c r="H15" s="44" t="s">
        <v>16</v>
      </c>
      <c r="I15" s="45" t="s">
        <v>17</v>
      </c>
      <c r="J15" s="32"/>
    </row>
    <row r="16" spans="1:12" s="33" customFormat="1">
      <c r="A16" s="37" t="s">
        <v>77</v>
      </c>
      <c r="B16" s="31" t="s">
        <v>67</v>
      </c>
      <c r="C16" s="21">
        <v>86762000</v>
      </c>
      <c r="D16" s="334"/>
      <c r="E16" s="44" t="s">
        <v>13</v>
      </c>
      <c r="F16" s="47"/>
      <c r="G16" s="45" t="s">
        <v>56</v>
      </c>
      <c r="H16" s="44" t="s">
        <v>16</v>
      </c>
      <c r="I16" s="45" t="s">
        <v>46</v>
      </c>
      <c r="J16" s="34"/>
      <c r="K16" s="35"/>
      <c r="L16" s="35"/>
    </row>
    <row r="17" spans="1:12" s="33" customFormat="1" ht="45">
      <c r="A17" s="37" t="s">
        <v>77</v>
      </c>
      <c r="B17" s="31" t="s">
        <v>68</v>
      </c>
      <c r="C17" s="21">
        <f>2907935000+101778000</f>
        <v>3009713000</v>
      </c>
      <c r="D17" s="334"/>
      <c r="E17" s="44" t="s">
        <v>72</v>
      </c>
      <c r="F17" s="42" t="s">
        <v>14</v>
      </c>
      <c r="G17" s="45" t="s">
        <v>56</v>
      </c>
      <c r="H17" s="44" t="s">
        <v>16</v>
      </c>
      <c r="I17" s="45" t="s">
        <v>153</v>
      </c>
      <c r="J17" s="36" t="s">
        <v>204</v>
      </c>
      <c r="K17" s="35">
        <v>12122000</v>
      </c>
      <c r="L17" s="35" t="e">
        <f>+J17+K17</f>
        <v>#VALUE!</v>
      </c>
    </row>
    <row r="18" spans="1:12" ht="31.5">
      <c r="A18" s="37" t="s">
        <v>77</v>
      </c>
      <c r="B18" s="20" t="s">
        <v>69</v>
      </c>
      <c r="C18" s="23">
        <v>95526000</v>
      </c>
      <c r="D18" s="334"/>
      <c r="E18" s="47" t="s">
        <v>13</v>
      </c>
      <c r="F18" s="47"/>
      <c r="G18" s="42" t="s">
        <v>56</v>
      </c>
      <c r="H18" s="47" t="s">
        <v>16</v>
      </c>
      <c r="I18" s="42" t="s">
        <v>71</v>
      </c>
      <c r="J18" s="30"/>
      <c r="K18" s="24"/>
      <c r="L18" s="24"/>
    </row>
    <row r="19" spans="1:12">
      <c r="A19" s="37" t="s">
        <v>77</v>
      </c>
      <c r="B19" s="20" t="s">
        <v>70</v>
      </c>
      <c r="C19" s="23">
        <v>7269838</v>
      </c>
      <c r="D19" s="335"/>
      <c r="E19" s="47" t="s">
        <v>13</v>
      </c>
      <c r="F19" s="47"/>
      <c r="G19" s="42" t="s">
        <v>56</v>
      </c>
      <c r="H19" s="47" t="s">
        <v>16</v>
      </c>
      <c r="I19" s="42" t="s">
        <v>46</v>
      </c>
      <c r="J19" s="29"/>
    </row>
    <row r="20" spans="1:12">
      <c r="A20" s="10"/>
      <c r="B20" s="26" t="s">
        <v>64</v>
      </c>
      <c r="C20" s="28">
        <f>ROUND((C5+C9),-3)</f>
        <v>3500000000</v>
      </c>
      <c r="D20" s="43"/>
      <c r="E20" s="43"/>
      <c r="F20" s="43"/>
      <c r="G20" s="43"/>
      <c r="H20" s="43"/>
      <c r="I20" s="43"/>
      <c r="J20" s="29"/>
    </row>
    <row r="27" spans="1:12">
      <c r="C27" s="41">
        <f>665000/2</f>
        <v>332500</v>
      </c>
      <c r="D27" s="40"/>
    </row>
    <row r="28" spans="1:12">
      <c r="C28" s="99">
        <f>+C20+C27</f>
        <v>3500332500</v>
      </c>
      <c r="D28" s="100">
        <f>+C28-704000-682000</f>
        <v>3498946500</v>
      </c>
    </row>
    <row r="52" spans="1:10" ht="31.5" customHeight="1"/>
    <row r="53" spans="1:10" ht="31.5" customHeight="1"/>
    <row r="54" spans="1:10" ht="31.5" customHeight="1"/>
    <row r="55" spans="1:10" ht="32.25" customHeight="1"/>
    <row r="56" spans="1:10" ht="16.5">
      <c r="A56" s="330" t="s">
        <v>27</v>
      </c>
      <c r="B56" s="330"/>
      <c r="C56" s="330"/>
      <c r="D56" s="330"/>
      <c r="E56" s="330"/>
      <c r="F56" s="330"/>
      <c r="G56" s="330"/>
      <c r="H56" s="330"/>
      <c r="I56" s="330"/>
    </row>
    <row r="57" spans="1:10" ht="16.5">
      <c r="A57" s="331" t="s">
        <v>141</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196889000</v>
      </c>
      <c r="D59" s="10"/>
      <c r="E59" s="43"/>
      <c r="F59" s="43"/>
      <c r="G59" s="43"/>
      <c r="H59" s="43"/>
      <c r="I59" s="43"/>
      <c r="J59" s="29"/>
    </row>
    <row r="60" spans="1:10" ht="47.25" customHeight="1">
      <c r="A60" s="37" t="s">
        <v>77</v>
      </c>
      <c r="B60" s="31" t="s">
        <v>129</v>
      </c>
      <c r="C60" s="21">
        <f>32519000+145978000</f>
        <v>178497000</v>
      </c>
      <c r="D60" s="339" t="s">
        <v>35</v>
      </c>
      <c r="E60" s="44" t="s">
        <v>13</v>
      </c>
      <c r="F60" s="43"/>
      <c r="G60" s="45"/>
      <c r="H60" s="44" t="s">
        <v>16</v>
      </c>
      <c r="I60" s="45" t="s">
        <v>66</v>
      </c>
      <c r="J60" s="32"/>
    </row>
    <row r="61" spans="1:10">
      <c r="A61" s="37" t="s">
        <v>77</v>
      </c>
      <c r="B61" s="20" t="s">
        <v>80</v>
      </c>
      <c r="C61" s="21">
        <v>17727000</v>
      </c>
      <c r="D61" s="339"/>
      <c r="E61" s="44" t="s">
        <v>13</v>
      </c>
      <c r="F61" s="46"/>
      <c r="G61" s="46"/>
      <c r="H61" s="44" t="s">
        <v>16</v>
      </c>
      <c r="I61" s="45" t="s">
        <v>17</v>
      </c>
      <c r="J61" s="10"/>
    </row>
    <row r="62" spans="1:10">
      <c r="A62" s="37" t="s">
        <v>77</v>
      </c>
      <c r="B62" s="20" t="s">
        <v>61</v>
      </c>
      <c r="C62" s="21">
        <f>665000</f>
        <v>665000</v>
      </c>
      <c r="D62" s="339"/>
      <c r="E62" s="46"/>
      <c r="F62" s="46"/>
      <c r="G62" s="46"/>
      <c r="H62" s="46"/>
      <c r="I62" s="46"/>
      <c r="J62" s="10"/>
    </row>
    <row r="63" spans="1:10">
      <c r="A63" s="10" t="s">
        <v>60</v>
      </c>
      <c r="B63" s="26" t="s">
        <v>76</v>
      </c>
      <c r="C63" s="28">
        <f>+C64+C68</f>
        <v>3303111000</v>
      </c>
      <c r="D63" s="43"/>
      <c r="E63" s="43"/>
      <c r="F63" s="43"/>
      <c r="G63" s="43"/>
      <c r="H63" s="43"/>
      <c r="I63" s="43"/>
      <c r="J63" s="29"/>
    </row>
    <row r="64" spans="1:10" ht="31.5">
      <c r="A64" s="10" t="s">
        <v>78</v>
      </c>
      <c r="B64" s="26" t="s">
        <v>58</v>
      </c>
      <c r="C64" s="28">
        <f>SUM(C65:C67)</f>
        <v>91278000</v>
      </c>
      <c r="D64" s="43"/>
      <c r="E64" s="43"/>
      <c r="F64" s="43"/>
      <c r="G64" s="43"/>
      <c r="H64" s="43"/>
      <c r="I64" s="43"/>
      <c r="J64" s="29"/>
    </row>
    <row r="65" spans="1:10" ht="15.75" customHeight="1">
      <c r="A65" s="38" t="s">
        <v>77</v>
      </c>
      <c r="B65" s="20" t="s">
        <v>79</v>
      </c>
      <c r="C65" s="21">
        <v>2000000</v>
      </c>
      <c r="D65" s="333" t="s">
        <v>35</v>
      </c>
      <c r="E65" s="46"/>
      <c r="F65" s="46"/>
      <c r="G65" s="46"/>
      <c r="H65" s="46"/>
      <c r="I65" s="46"/>
      <c r="J65" s="329"/>
    </row>
    <row r="66" spans="1:10">
      <c r="A66" s="38" t="s">
        <v>77</v>
      </c>
      <c r="B66" s="20" t="s">
        <v>158</v>
      </c>
      <c r="C66" s="21">
        <v>56028000</v>
      </c>
      <c r="D66" s="334"/>
      <c r="E66" s="46"/>
      <c r="F66" s="46"/>
      <c r="G66" s="46"/>
      <c r="H66" s="46"/>
      <c r="I66" s="46"/>
      <c r="J66" s="329"/>
    </row>
    <row r="67" spans="1:10" ht="31.5" customHeight="1">
      <c r="A67" s="38" t="s">
        <v>77</v>
      </c>
      <c r="B67" s="20" t="s">
        <v>63</v>
      </c>
      <c r="C67" s="21">
        <v>33250000</v>
      </c>
      <c r="D67" s="335"/>
      <c r="E67" s="46"/>
      <c r="F67" s="46"/>
      <c r="G67" s="46"/>
      <c r="H67" s="46"/>
      <c r="I67" s="46"/>
      <c r="J67" s="329"/>
    </row>
    <row r="68" spans="1:10" ht="31.5" customHeight="1">
      <c r="A68" s="10" t="s">
        <v>81</v>
      </c>
      <c r="B68" s="26" t="s">
        <v>59</v>
      </c>
      <c r="C68" s="28">
        <f>ROUND(SUM(C69:C73),-3)</f>
        <v>3211833000</v>
      </c>
      <c r="D68" s="43"/>
      <c r="E68" s="43"/>
      <c r="F68" s="43"/>
      <c r="G68" s="43"/>
      <c r="H68" s="43"/>
      <c r="I68" s="43"/>
      <c r="J68" s="29"/>
    </row>
    <row r="69" spans="1:10" ht="31.5" customHeight="1">
      <c r="A69" s="37" t="s">
        <v>77</v>
      </c>
      <c r="B69" s="31" t="s">
        <v>40</v>
      </c>
      <c r="C69" s="21">
        <f>5653000+6909000</f>
        <v>12562000</v>
      </c>
      <c r="D69" s="333" t="s">
        <v>35</v>
      </c>
      <c r="E69" s="44" t="s">
        <v>13</v>
      </c>
      <c r="F69" s="47"/>
      <c r="G69" s="45" t="s">
        <v>56</v>
      </c>
      <c r="H69" s="44" t="s">
        <v>16</v>
      </c>
      <c r="I69" s="45" t="s">
        <v>17</v>
      </c>
      <c r="J69" s="32"/>
    </row>
    <row r="70" spans="1:10">
      <c r="A70" s="37" t="s">
        <v>77</v>
      </c>
      <c r="B70" s="31" t="s">
        <v>67</v>
      </c>
      <c r="C70" s="21">
        <v>86762000</v>
      </c>
      <c r="D70" s="334"/>
      <c r="E70" s="44" t="s">
        <v>13</v>
      </c>
      <c r="F70" s="47"/>
      <c r="G70" s="45" t="s">
        <v>56</v>
      </c>
      <c r="H70" s="44" t="s">
        <v>16</v>
      </c>
      <c r="I70" s="45" t="s">
        <v>46</v>
      </c>
      <c r="J70" s="34"/>
    </row>
    <row r="71" spans="1:10" ht="45">
      <c r="A71" s="37" t="s">
        <v>77</v>
      </c>
      <c r="B71" s="31" t="s">
        <v>68</v>
      </c>
      <c r="C71" s="21">
        <f>2907935000+101778000</f>
        <v>3009713000</v>
      </c>
      <c r="D71" s="334"/>
      <c r="E71" s="44" t="s">
        <v>72</v>
      </c>
      <c r="F71" s="42" t="s">
        <v>14</v>
      </c>
      <c r="G71" s="45" t="s">
        <v>56</v>
      </c>
      <c r="H71" s="44" t="s">
        <v>16</v>
      </c>
      <c r="I71" s="45" t="s">
        <v>153</v>
      </c>
      <c r="J71" s="36" t="s">
        <v>204</v>
      </c>
    </row>
    <row r="72" spans="1:10" ht="31.5">
      <c r="A72" s="37" t="s">
        <v>77</v>
      </c>
      <c r="B72" s="20" t="s">
        <v>69</v>
      </c>
      <c r="C72" s="23">
        <v>95526000</v>
      </c>
      <c r="D72" s="334"/>
      <c r="E72" s="47" t="s">
        <v>13</v>
      </c>
      <c r="F72" s="47"/>
      <c r="G72" s="42" t="s">
        <v>56</v>
      </c>
      <c r="H72" s="47" t="s">
        <v>16</v>
      </c>
      <c r="I72" s="42" t="s">
        <v>71</v>
      </c>
      <c r="J72" s="30"/>
    </row>
    <row r="73" spans="1:10">
      <c r="A73" s="37" t="s">
        <v>77</v>
      </c>
      <c r="B73" s="20" t="s">
        <v>70</v>
      </c>
      <c r="C73" s="23">
        <v>7269838</v>
      </c>
      <c r="D73" s="335"/>
      <c r="E73" s="47" t="s">
        <v>13</v>
      </c>
      <c r="F73" s="47"/>
      <c r="G73" s="42" t="s">
        <v>56</v>
      </c>
      <c r="H73" s="47" t="s">
        <v>16</v>
      </c>
      <c r="I73" s="42" t="s">
        <v>46</v>
      </c>
      <c r="J73" s="29"/>
    </row>
    <row r="74" spans="1:10">
      <c r="A74" s="10"/>
      <c r="B74" s="26" t="s">
        <v>64</v>
      </c>
      <c r="C74" s="28">
        <f>ROUND((C59+C63),-3)</f>
        <v>3500000000</v>
      </c>
      <c r="D74" s="43"/>
      <c r="E74" s="43"/>
      <c r="F74" s="43"/>
      <c r="G74" s="43"/>
      <c r="H74" s="43"/>
      <c r="I74" s="43"/>
      <c r="J74" s="29"/>
    </row>
  </sheetData>
  <mergeCells count="13">
    <mergeCell ref="D15:D19"/>
    <mergeCell ref="A56:I56"/>
    <mergeCell ref="D69:D73"/>
    <mergeCell ref="D65:D67"/>
    <mergeCell ref="J65:J67"/>
    <mergeCell ref="A57:I57"/>
    <mergeCell ref="D60:D62"/>
    <mergeCell ref="J11:J13"/>
    <mergeCell ref="A1:I1"/>
    <mergeCell ref="A2:I2"/>
    <mergeCell ref="H3:I3"/>
    <mergeCell ref="D6:D8"/>
    <mergeCell ref="D11:D13"/>
  </mergeCells>
  <phoneticPr fontId="4" type="noConversion"/>
  <pageMargins left="0.37" right="0.2" top="0.49" bottom="0.2" header="0.5" footer="0.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pane xSplit="2" ySplit="4" topLeftCell="D68" activePane="bottomRight" state="frozen"/>
      <selection pane="topRight" activeCell="C1" sqref="C1"/>
      <selection pane="bottomLeft" activeCell="A6" sqref="A6"/>
      <selection pane="bottomRight" activeCell="B66" sqref="B66"/>
    </sheetView>
  </sheetViews>
  <sheetFormatPr defaultColWidth="9" defaultRowHeight="15.75"/>
  <cols>
    <col min="1" max="1" width="4.109375" style="1" customWidth="1"/>
    <col min="2" max="2" width="31.21875" style="1" customWidth="1"/>
    <col min="3" max="3" width="12.109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152137000</v>
      </c>
      <c r="D5" s="10"/>
      <c r="E5" s="43"/>
      <c r="F5" s="43"/>
      <c r="G5" s="43"/>
      <c r="H5" s="43"/>
      <c r="I5" s="43"/>
      <c r="J5" s="29"/>
    </row>
    <row r="6" spans="1:12" s="33" customFormat="1" ht="47.25">
      <c r="A6" s="37" t="s">
        <v>77</v>
      </c>
      <c r="B6" s="31" t="s">
        <v>62</v>
      </c>
      <c r="C6" s="21">
        <f>41402000+95234000+5588000</f>
        <v>142224000</v>
      </c>
      <c r="D6" s="339" t="s">
        <v>35</v>
      </c>
      <c r="E6" s="44" t="s">
        <v>13</v>
      </c>
      <c r="F6" s="43"/>
      <c r="G6" s="45"/>
      <c r="H6" s="44" t="s">
        <v>16</v>
      </c>
      <c r="I6" s="45" t="s">
        <v>66</v>
      </c>
      <c r="J6" s="32"/>
    </row>
    <row r="7" spans="1:12" s="27" customFormat="1" ht="31.5">
      <c r="A7" s="37" t="s">
        <v>77</v>
      </c>
      <c r="B7" s="20" t="s">
        <v>80</v>
      </c>
      <c r="C7" s="21">
        <v>9533000</v>
      </c>
      <c r="D7" s="339"/>
      <c r="E7" s="44" t="s">
        <v>13</v>
      </c>
      <c r="F7" s="46"/>
      <c r="G7" s="46"/>
      <c r="H7" s="44" t="s">
        <v>16</v>
      </c>
      <c r="I7" s="45" t="s">
        <v>17</v>
      </c>
      <c r="J7" s="10"/>
    </row>
    <row r="8" spans="1:12" s="27" customFormat="1">
      <c r="A8" s="37" t="s">
        <v>77</v>
      </c>
      <c r="B8" s="20" t="s">
        <v>61</v>
      </c>
      <c r="C8" s="21">
        <f>380000</f>
        <v>380000</v>
      </c>
      <c r="D8" s="339"/>
      <c r="E8" s="46"/>
      <c r="F8" s="46"/>
      <c r="G8" s="46"/>
      <c r="H8" s="46"/>
      <c r="I8" s="46"/>
      <c r="J8" s="10"/>
    </row>
    <row r="9" spans="1:12">
      <c r="A9" s="10" t="s">
        <v>60</v>
      </c>
      <c r="B9" s="26" t="s">
        <v>76</v>
      </c>
      <c r="C9" s="28">
        <f>+C10+C14</f>
        <v>1843223000</v>
      </c>
      <c r="D9" s="43"/>
      <c r="E9" s="43"/>
      <c r="F9" s="43"/>
      <c r="G9" s="43"/>
      <c r="H9" s="43"/>
      <c r="I9" s="43"/>
      <c r="J9" s="29"/>
    </row>
    <row r="10" spans="1:12" ht="31.5">
      <c r="A10" s="10" t="s">
        <v>78</v>
      </c>
      <c r="B10" s="26" t="s">
        <v>58</v>
      </c>
      <c r="C10" s="28">
        <f>SUM(C11:C13)</f>
        <v>116017000</v>
      </c>
      <c r="D10" s="43"/>
      <c r="E10" s="43"/>
      <c r="F10" s="43"/>
      <c r="G10" s="43"/>
      <c r="H10" s="43"/>
      <c r="I10" s="43"/>
      <c r="J10" s="29"/>
    </row>
    <row r="11" spans="1:12" s="27" customFormat="1" ht="34.5" customHeight="1">
      <c r="A11" s="38" t="s">
        <v>77</v>
      </c>
      <c r="B11" s="20" t="s">
        <v>79</v>
      </c>
      <c r="C11" s="21">
        <v>2000000</v>
      </c>
      <c r="D11" s="333" t="s">
        <v>35</v>
      </c>
      <c r="E11" s="46"/>
      <c r="F11" s="46"/>
      <c r="G11" s="46"/>
      <c r="H11" s="46"/>
      <c r="I11" s="46"/>
      <c r="J11" s="329"/>
    </row>
    <row r="12" spans="1:12" s="27" customFormat="1" ht="34.5" customHeight="1">
      <c r="A12" s="38" t="s">
        <v>77</v>
      </c>
      <c r="B12" s="20" t="s">
        <v>158</v>
      </c>
      <c r="C12" s="21">
        <v>95017000</v>
      </c>
      <c r="D12" s="334"/>
      <c r="E12" s="46"/>
      <c r="F12" s="46"/>
      <c r="G12" s="46"/>
      <c r="H12" s="46"/>
      <c r="I12" s="46"/>
      <c r="J12" s="329"/>
    </row>
    <row r="13" spans="1:12" s="27" customFormat="1" ht="34.5" customHeight="1">
      <c r="A13" s="38" t="s">
        <v>77</v>
      </c>
      <c r="B13" s="20" t="s">
        <v>63</v>
      </c>
      <c r="C13" s="21">
        <v>19000000</v>
      </c>
      <c r="D13" s="335"/>
      <c r="E13" s="46"/>
      <c r="F13" s="46"/>
      <c r="G13" s="46"/>
      <c r="H13" s="46"/>
      <c r="I13" s="46"/>
      <c r="J13" s="329"/>
    </row>
    <row r="14" spans="1:12" ht="31.5">
      <c r="A14" s="10" t="s">
        <v>81</v>
      </c>
      <c r="B14" s="26" t="s">
        <v>59</v>
      </c>
      <c r="C14" s="28">
        <f>ROUND(SUM(C15:C19),-3)</f>
        <v>1727206000</v>
      </c>
      <c r="D14" s="43"/>
      <c r="E14" s="43"/>
      <c r="F14" s="43"/>
      <c r="G14" s="43"/>
      <c r="H14" s="43"/>
      <c r="I14" s="43"/>
      <c r="J14" s="29"/>
    </row>
    <row r="15" spans="1:12" s="33" customFormat="1" ht="31.5">
      <c r="A15" s="37" t="s">
        <v>77</v>
      </c>
      <c r="B15" s="31" t="s">
        <v>40</v>
      </c>
      <c r="C15" s="21">
        <f>3040000+3716000</f>
        <v>6756000</v>
      </c>
      <c r="D15" s="333" t="s">
        <v>35</v>
      </c>
      <c r="E15" s="44" t="s">
        <v>13</v>
      </c>
      <c r="F15" s="47"/>
      <c r="G15" s="45" t="s">
        <v>56</v>
      </c>
      <c r="H15" s="44" t="s">
        <v>16</v>
      </c>
      <c r="I15" s="45" t="s">
        <v>17</v>
      </c>
      <c r="J15" s="32"/>
    </row>
    <row r="16" spans="1:12" s="33" customFormat="1">
      <c r="A16" s="37" t="s">
        <v>77</v>
      </c>
      <c r="B16" s="31" t="s">
        <v>67</v>
      </c>
      <c r="C16" s="21">
        <v>46658000</v>
      </c>
      <c r="D16" s="334"/>
      <c r="E16" s="44" t="s">
        <v>13</v>
      </c>
      <c r="F16" s="47"/>
      <c r="G16" s="45" t="s">
        <v>56</v>
      </c>
      <c r="H16" s="44" t="s">
        <v>16</v>
      </c>
      <c r="I16" s="45" t="s">
        <v>46</v>
      </c>
      <c r="J16" s="34"/>
      <c r="K16" s="35"/>
      <c r="L16" s="35"/>
    </row>
    <row r="17" spans="1:12" s="33" customFormat="1" ht="45">
      <c r="A17" s="37" t="s">
        <v>77</v>
      </c>
      <c r="B17" s="31" t="s">
        <v>68</v>
      </c>
      <c r="C17" s="21">
        <f>1563781000+54732000</f>
        <v>1618513000</v>
      </c>
      <c r="D17" s="334"/>
      <c r="E17" s="44" t="s">
        <v>72</v>
      </c>
      <c r="F17" s="42" t="s">
        <v>14</v>
      </c>
      <c r="G17" s="45" t="s">
        <v>56</v>
      </c>
      <c r="H17" s="44" t="s">
        <v>16</v>
      </c>
      <c r="I17" s="45" t="s">
        <v>47</v>
      </c>
      <c r="J17" s="36" t="s">
        <v>212</v>
      </c>
      <c r="K17" s="35">
        <v>12122000</v>
      </c>
      <c r="L17" s="35" t="e">
        <f>+J17+K17</f>
        <v>#VALUE!</v>
      </c>
    </row>
    <row r="18" spans="1:12" ht="31.5">
      <c r="A18" s="37" t="s">
        <v>77</v>
      </c>
      <c r="B18" s="20" t="s">
        <v>69</v>
      </c>
      <c r="C18" s="23">
        <v>51370000</v>
      </c>
      <c r="D18" s="334"/>
      <c r="E18" s="47" t="s">
        <v>13</v>
      </c>
      <c r="F18" s="47"/>
      <c r="G18" s="42" t="s">
        <v>56</v>
      </c>
      <c r="H18" s="47" t="s">
        <v>16</v>
      </c>
      <c r="I18" s="42" t="s">
        <v>71</v>
      </c>
      <c r="J18" s="30"/>
      <c r="K18" s="24"/>
      <c r="L18" s="24"/>
    </row>
    <row r="19" spans="1:12">
      <c r="A19" s="37" t="s">
        <v>77</v>
      </c>
      <c r="B19" s="20" t="s">
        <v>70</v>
      </c>
      <c r="C19" s="23">
        <v>3909453</v>
      </c>
      <c r="D19" s="335"/>
      <c r="E19" s="47" t="s">
        <v>13</v>
      </c>
      <c r="F19" s="47"/>
      <c r="G19" s="42" t="s">
        <v>56</v>
      </c>
      <c r="H19" s="47" t="s">
        <v>16</v>
      </c>
      <c r="I19" s="42" t="s">
        <v>46</v>
      </c>
      <c r="J19" s="29"/>
    </row>
    <row r="20" spans="1:12">
      <c r="A20" s="10"/>
      <c r="B20" s="26" t="s">
        <v>64</v>
      </c>
      <c r="C20" s="28">
        <f>+C5+C9</f>
        <v>1995360000</v>
      </c>
      <c r="D20" s="43"/>
      <c r="E20" s="43"/>
      <c r="F20" s="43"/>
      <c r="G20" s="43"/>
      <c r="H20" s="43"/>
      <c r="I20" s="43"/>
      <c r="J20" s="29"/>
    </row>
    <row r="22" spans="1:12">
      <c r="C22" s="41">
        <f>+C20+704000+682000+190000</f>
        <v>1996936000</v>
      </c>
      <c r="D22" s="40"/>
    </row>
    <row r="23" spans="1:12">
      <c r="C23" s="99">
        <v>1996815000</v>
      </c>
      <c r="D23" s="100">
        <f>+C23-704000-682000</f>
        <v>1995429000</v>
      </c>
    </row>
    <row r="52" spans="1:10" ht="31.5" customHeight="1"/>
    <row r="53" spans="1:10" ht="31.5" customHeight="1"/>
    <row r="54" spans="1:10" ht="31.5" customHeight="1"/>
    <row r="56" spans="1:10" ht="16.5">
      <c r="A56" s="330" t="s">
        <v>27</v>
      </c>
      <c r="B56" s="330"/>
      <c r="C56" s="330"/>
      <c r="D56" s="330"/>
      <c r="E56" s="330"/>
      <c r="F56" s="330"/>
      <c r="G56" s="330"/>
      <c r="H56" s="330"/>
      <c r="I56" s="330"/>
    </row>
    <row r="57" spans="1:10" ht="16.5">
      <c r="A57" s="331" t="s">
        <v>74</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152137000</v>
      </c>
      <c r="D59" s="10"/>
      <c r="E59" s="43"/>
      <c r="F59" s="43"/>
      <c r="G59" s="43"/>
      <c r="H59" s="43"/>
      <c r="I59" s="43"/>
      <c r="J59" s="29"/>
    </row>
    <row r="60" spans="1:10" ht="47.25" customHeight="1">
      <c r="A60" s="37" t="s">
        <v>77</v>
      </c>
      <c r="B60" s="31" t="s">
        <v>62</v>
      </c>
      <c r="C60" s="21">
        <f>41402000+95234000+5588000</f>
        <v>142224000</v>
      </c>
      <c r="D60" s="339" t="s">
        <v>35</v>
      </c>
      <c r="E60" s="44" t="s">
        <v>13</v>
      </c>
      <c r="F60" s="43"/>
      <c r="G60" s="45"/>
      <c r="H60" s="44" t="s">
        <v>16</v>
      </c>
      <c r="I60" s="45" t="s">
        <v>66</v>
      </c>
      <c r="J60" s="32"/>
    </row>
    <row r="61" spans="1:10" ht="31.5">
      <c r="A61" s="37" t="s">
        <v>77</v>
      </c>
      <c r="B61" s="20" t="s">
        <v>80</v>
      </c>
      <c r="C61" s="21">
        <v>9533000</v>
      </c>
      <c r="D61" s="339"/>
      <c r="E61" s="44" t="s">
        <v>13</v>
      </c>
      <c r="F61" s="46"/>
      <c r="G61" s="46"/>
      <c r="H61" s="44" t="s">
        <v>16</v>
      </c>
      <c r="I61" s="45" t="s">
        <v>17</v>
      </c>
      <c r="J61" s="10"/>
    </row>
    <row r="62" spans="1:10">
      <c r="A62" s="37" t="s">
        <v>77</v>
      </c>
      <c r="B62" s="20" t="s">
        <v>61</v>
      </c>
      <c r="C62" s="21">
        <f>380000</f>
        <v>380000</v>
      </c>
      <c r="D62" s="339"/>
      <c r="E62" s="46"/>
      <c r="F62" s="46"/>
      <c r="G62" s="46"/>
      <c r="H62" s="46"/>
      <c r="I62" s="46"/>
      <c r="J62" s="10"/>
    </row>
    <row r="63" spans="1:10">
      <c r="A63" s="10" t="s">
        <v>60</v>
      </c>
      <c r="B63" s="26" t="s">
        <v>76</v>
      </c>
      <c r="C63" s="28">
        <f>+C64+C68</f>
        <v>1843223000</v>
      </c>
      <c r="D63" s="43"/>
      <c r="E63" s="43"/>
      <c r="F63" s="43"/>
      <c r="G63" s="43"/>
      <c r="H63" s="43"/>
      <c r="I63" s="43"/>
      <c r="J63" s="29"/>
    </row>
    <row r="64" spans="1:10" ht="31.5">
      <c r="A64" s="10" t="s">
        <v>78</v>
      </c>
      <c r="B64" s="26" t="s">
        <v>58</v>
      </c>
      <c r="C64" s="28">
        <f>SUM(C65:C67)</f>
        <v>116017000</v>
      </c>
      <c r="D64" s="43"/>
      <c r="E64" s="43"/>
      <c r="F64" s="43"/>
      <c r="G64" s="43"/>
      <c r="H64" s="43"/>
      <c r="I64" s="43"/>
      <c r="J64" s="29"/>
    </row>
    <row r="65" spans="1:10" ht="29.25" customHeight="1">
      <c r="A65" s="38" t="s">
        <v>77</v>
      </c>
      <c r="B65" s="20" t="s">
        <v>79</v>
      </c>
      <c r="C65" s="21">
        <v>2000000</v>
      </c>
      <c r="D65" s="333" t="s">
        <v>35</v>
      </c>
      <c r="E65" s="46"/>
      <c r="F65" s="46"/>
      <c r="G65" s="46"/>
      <c r="H65" s="46"/>
      <c r="I65" s="46"/>
      <c r="J65" s="329"/>
    </row>
    <row r="66" spans="1:10" ht="29.25" customHeight="1">
      <c r="A66" s="38" t="s">
        <v>77</v>
      </c>
      <c r="B66" s="20" t="s">
        <v>158</v>
      </c>
      <c r="C66" s="21">
        <v>95017000</v>
      </c>
      <c r="D66" s="334"/>
      <c r="E66" s="46"/>
      <c r="F66" s="46"/>
      <c r="G66" s="46"/>
      <c r="H66" s="46"/>
      <c r="I66" s="46"/>
      <c r="J66" s="329"/>
    </row>
    <row r="67" spans="1:10">
      <c r="A67" s="38" t="s">
        <v>77</v>
      </c>
      <c r="B67" s="20" t="s">
        <v>63</v>
      </c>
      <c r="C67" s="21">
        <v>19000000</v>
      </c>
      <c r="D67" s="335"/>
      <c r="E67" s="46"/>
      <c r="F67" s="46"/>
      <c r="G67" s="46"/>
      <c r="H67" s="46"/>
      <c r="I67" s="46"/>
      <c r="J67" s="329"/>
    </row>
    <row r="68" spans="1:10" ht="31.5" customHeight="1">
      <c r="A68" s="10" t="s">
        <v>81</v>
      </c>
      <c r="B68" s="26" t="s">
        <v>59</v>
      </c>
      <c r="C68" s="28">
        <f>ROUND(SUM(C69:C73),-3)</f>
        <v>1727206000</v>
      </c>
      <c r="D68" s="43"/>
      <c r="E68" s="43"/>
      <c r="F68" s="43"/>
      <c r="G68" s="43"/>
      <c r="H68" s="43"/>
      <c r="I68" s="43"/>
      <c r="J68" s="29"/>
    </row>
    <row r="69" spans="1:10" ht="31.5">
      <c r="A69" s="37" t="s">
        <v>77</v>
      </c>
      <c r="B69" s="31" t="s">
        <v>40</v>
      </c>
      <c r="C69" s="21">
        <f>3040000+3716000</f>
        <v>6756000</v>
      </c>
      <c r="D69" s="333" t="s">
        <v>35</v>
      </c>
      <c r="E69" s="44" t="s">
        <v>13</v>
      </c>
      <c r="F69" s="47"/>
      <c r="G69" s="45" t="s">
        <v>56</v>
      </c>
      <c r="H69" s="44" t="s">
        <v>16</v>
      </c>
      <c r="I69" s="45" t="s">
        <v>17</v>
      </c>
      <c r="J69" s="32"/>
    </row>
    <row r="70" spans="1:10">
      <c r="A70" s="37" t="s">
        <v>77</v>
      </c>
      <c r="B70" s="31" t="s">
        <v>67</v>
      </c>
      <c r="C70" s="21">
        <v>46658000</v>
      </c>
      <c r="D70" s="334"/>
      <c r="E70" s="44" t="s">
        <v>13</v>
      </c>
      <c r="F70" s="47"/>
      <c r="G70" s="45" t="s">
        <v>56</v>
      </c>
      <c r="H70" s="44" t="s">
        <v>16</v>
      </c>
      <c r="I70" s="45" t="s">
        <v>46</v>
      </c>
      <c r="J70" s="34"/>
    </row>
    <row r="71" spans="1:10" ht="45">
      <c r="A71" s="37" t="s">
        <v>77</v>
      </c>
      <c r="B71" s="31" t="s">
        <v>68</v>
      </c>
      <c r="C71" s="21">
        <f>1563781000+54732000</f>
        <v>1618513000</v>
      </c>
      <c r="D71" s="334"/>
      <c r="E71" s="44" t="s">
        <v>72</v>
      </c>
      <c r="F71" s="42" t="s">
        <v>14</v>
      </c>
      <c r="G71" s="45" t="s">
        <v>56</v>
      </c>
      <c r="H71" s="44" t="s">
        <v>16</v>
      </c>
      <c r="I71" s="45" t="s">
        <v>47</v>
      </c>
      <c r="J71" s="36" t="s">
        <v>212</v>
      </c>
    </row>
    <row r="72" spans="1:10" ht="31.5">
      <c r="A72" s="37" t="s">
        <v>77</v>
      </c>
      <c r="B72" s="20" t="s">
        <v>69</v>
      </c>
      <c r="C72" s="23">
        <v>51370000</v>
      </c>
      <c r="D72" s="334"/>
      <c r="E72" s="47" t="s">
        <v>13</v>
      </c>
      <c r="F72" s="47"/>
      <c r="G72" s="42" t="s">
        <v>56</v>
      </c>
      <c r="H72" s="47" t="s">
        <v>16</v>
      </c>
      <c r="I72" s="42" t="s">
        <v>71</v>
      </c>
      <c r="J72" s="30"/>
    </row>
    <row r="73" spans="1:10">
      <c r="A73" s="37" t="s">
        <v>77</v>
      </c>
      <c r="B73" s="20" t="s">
        <v>70</v>
      </c>
      <c r="C73" s="23">
        <v>3909453</v>
      </c>
      <c r="D73" s="335"/>
      <c r="E73" s="47" t="s">
        <v>13</v>
      </c>
      <c r="F73" s="47"/>
      <c r="G73" s="42" t="s">
        <v>56</v>
      </c>
      <c r="H73" s="47" t="s">
        <v>16</v>
      </c>
      <c r="I73" s="42" t="s">
        <v>46</v>
      </c>
      <c r="J73" s="29"/>
    </row>
    <row r="74" spans="1:10">
      <c r="A74" s="10"/>
      <c r="B74" s="26" t="s">
        <v>64</v>
      </c>
      <c r="C74" s="28">
        <f>+C59+C63</f>
        <v>1995360000</v>
      </c>
      <c r="D74" s="43"/>
      <c r="E74" s="43"/>
      <c r="F74" s="43"/>
      <c r="G74" s="43"/>
      <c r="H74" s="43"/>
      <c r="I74" s="43"/>
      <c r="J74" s="29"/>
    </row>
  </sheetData>
  <mergeCells count="13">
    <mergeCell ref="D69:D73"/>
    <mergeCell ref="D15:D19"/>
    <mergeCell ref="D11:D13"/>
    <mergeCell ref="D60:D62"/>
    <mergeCell ref="A56:I56"/>
    <mergeCell ref="A57:I57"/>
    <mergeCell ref="D65:D67"/>
    <mergeCell ref="J65:J67"/>
    <mergeCell ref="J11:J13"/>
    <mergeCell ref="A1:I1"/>
    <mergeCell ref="A2:I2"/>
    <mergeCell ref="H3:I3"/>
    <mergeCell ref="D6:D8"/>
  </mergeCells>
  <phoneticPr fontId="4" type="noConversion"/>
  <pageMargins left="0.2" right="0.17" top="0.38" bottom="0.17" header="0.5" footer="0.17"/>
  <pageSetup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5"/>
  <sheetViews>
    <sheetView topLeftCell="A7" workbookViewId="0">
      <selection activeCell="F14" sqref="F14"/>
    </sheetView>
  </sheetViews>
  <sheetFormatPr defaultColWidth="9" defaultRowHeight="15.75"/>
  <cols>
    <col min="1" max="1" width="4.109375" style="1" customWidth="1"/>
    <col min="2" max="2" width="39.77734375" style="1" customWidth="1"/>
    <col min="3" max="3" width="12.77734375" style="1" customWidth="1"/>
    <col min="4" max="4" width="10.332031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4.6640625" style="1" customWidth="1"/>
    <col min="11" max="11" width="13.109375" style="1" customWidth="1"/>
    <col min="12" max="12" width="16.33203125" style="1" bestFit="1" customWidth="1"/>
    <col min="13" max="16384" width="9" style="1"/>
  </cols>
  <sheetData>
    <row r="2" spans="1:12" ht="16.5">
      <c r="A2" s="330" t="s">
        <v>27</v>
      </c>
      <c r="B2" s="330"/>
      <c r="C2" s="330"/>
      <c r="D2" s="330"/>
      <c r="E2" s="330"/>
      <c r="F2" s="330"/>
      <c r="G2" s="330"/>
      <c r="H2" s="330"/>
      <c r="I2" s="330"/>
    </row>
    <row r="3" spans="1:12" ht="16.5">
      <c r="A3" s="331" t="s">
        <v>54</v>
      </c>
      <c r="B3" s="331"/>
      <c r="C3" s="331"/>
      <c r="D3" s="331"/>
      <c r="E3" s="331"/>
      <c r="F3" s="331"/>
      <c r="G3" s="331"/>
      <c r="H3" s="331"/>
      <c r="I3" s="331"/>
    </row>
    <row r="4" spans="1:12">
      <c r="H4" s="332" t="s">
        <v>39</v>
      </c>
      <c r="I4" s="332"/>
    </row>
    <row r="5" spans="1:12" ht="47.25">
      <c r="A5" s="10" t="s">
        <v>21</v>
      </c>
      <c r="B5" s="10" t="s">
        <v>0</v>
      </c>
      <c r="C5" s="10" t="s">
        <v>12</v>
      </c>
      <c r="D5" s="10" t="s">
        <v>1</v>
      </c>
      <c r="E5" s="10" t="s">
        <v>2</v>
      </c>
      <c r="F5" s="10" t="s">
        <v>3</v>
      </c>
      <c r="G5" s="10" t="s">
        <v>4</v>
      </c>
      <c r="H5" s="10" t="s">
        <v>5</v>
      </c>
      <c r="I5" s="10" t="s">
        <v>6</v>
      </c>
    </row>
    <row r="6" spans="1:12">
      <c r="A6" s="10" t="s">
        <v>57</v>
      </c>
      <c r="B6" s="26" t="s">
        <v>58</v>
      </c>
      <c r="C6" s="10"/>
      <c r="D6" s="25"/>
      <c r="E6" s="10"/>
      <c r="F6" s="10"/>
      <c r="G6" s="10"/>
      <c r="H6" s="10"/>
      <c r="I6" s="10"/>
    </row>
    <row r="7" spans="1:12">
      <c r="A7" s="10"/>
      <c r="B7" s="10"/>
      <c r="C7" s="10"/>
      <c r="D7" s="25"/>
      <c r="E7" s="10"/>
      <c r="F7" s="10"/>
      <c r="G7" s="10"/>
      <c r="H7" s="10"/>
      <c r="I7" s="10"/>
    </row>
    <row r="8" spans="1:12">
      <c r="A8" s="10"/>
      <c r="B8" s="10"/>
      <c r="C8" s="10"/>
      <c r="D8" s="25"/>
      <c r="E8" s="10"/>
      <c r="F8" s="10"/>
      <c r="G8" s="10"/>
      <c r="H8" s="10"/>
      <c r="I8" s="10"/>
    </row>
    <row r="9" spans="1:12">
      <c r="A9" s="10"/>
      <c r="B9" s="10"/>
      <c r="C9" s="10"/>
      <c r="D9" s="25"/>
      <c r="E9" s="10"/>
      <c r="F9" s="10"/>
      <c r="G9" s="10"/>
      <c r="H9" s="10"/>
      <c r="I9" s="10"/>
    </row>
    <row r="10" spans="1:12">
      <c r="A10" s="10" t="s">
        <v>60</v>
      </c>
      <c r="B10" s="26" t="s">
        <v>59</v>
      </c>
      <c r="C10" s="10"/>
      <c r="D10" s="25"/>
      <c r="E10" s="10"/>
      <c r="F10" s="10"/>
      <c r="G10" s="10"/>
      <c r="H10" s="10"/>
      <c r="I10" s="10"/>
    </row>
    <row r="11" spans="1:12" ht="46.9" customHeight="1">
      <c r="A11" s="19">
        <v>1</v>
      </c>
      <c r="B11" s="20" t="s">
        <v>40</v>
      </c>
      <c r="C11" s="21">
        <v>3040000</v>
      </c>
      <c r="D11" s="341" t="s">
        <v>35</v>
      </c>
      <c r="E11" s="22" t="s">
        <v>13</v>
      </c>
      <c r="F11" s="19"/>
      <c r="G11" s="19" t="s">
        <v>56</v>
      </c>
      <c r="H11" s="22" t="s">
        <v>16</v>
      </c>
      <c r="I11" s="19" t="s">
        <v>45</v>
      </c>
    </row>
    <row r="12" spans="1:12" ht="46.9" customHeight="1">
      <c r="A12" s="19">
        <v>2</v>
      </c>
      <c r="B12" s="20" t="s">
        <v>55</v>
      </c>
      <c r="C12" s="21">
        <v>3716000</v>
      </c>
      <c r="D12" s="342"/>
      <c r="E12" s="22" t="s">
        <v>13</v>
      </c>
      <c r="F12" s="19"/>
      <c r="G12" s="19" t="s">
        <v>56</v>
      </c>
      <c r="H12" s="22" t="s">
        <v>16</v>
      </c>
      <c r="I12" s="19" t="s">
        <v>17</v>
      </c>
    </row>
    <row r="13" spans="1:12" ht="46.9" customHeight="1">
      <c r="A13" s="19">
        <v>3</v>
      </c>
      <c r="B13" s="20" t="s">
        <v>41</v>
      </c>
      <c r="C13" s="21">
        <v>46658000</v>
      </c>
      <c r="D13" s="342"/>
      <c r="E13" s="22" t="s">
        <v>13</v>
      </c>
      <c r="F13" s="19"/>
      <c r="G13" s="19" t="s">
        <v>56</v>
      </c>
      <c r="H13" s="22" t="s">
        <v>16</v>
      </c>
      <c r="I13" s="19" t="s">
        <v>46</v>
      </c>
      <c r="J13" s="24">
        <v>154032000</v>
      </c>
      <c r="K13" s="24"/>
      <c r="L13" s="24"/>
    </row>
    <row r="14" spans="1:12" ht="46.9" customHeight="1">
      <c r="A14" s="19">
        <v>4</v>
      </c>
      <c r="B14" s="20" t="s">
        <v>49</v>
      </c>
      <c r="C14" s="21">
        <f>1563781000+54732000</f>
        <v>1618513000</v>
      </c>
      <c r="D14" s="342"/>
      <c r="E14" s="22" t="s">
        <v>43</v>
      </c>
      <c r="F14" s="19" t="s">
        <v>14</v>
      </c>
      <c r="G14" s="19" t="s">
        <v>56</v>
      </c>
      <c r="H14" s="22" t="s">
        <v>16</v>
      </c>
      <c r="I14" s="19" t="s">
        <v>47</v>
      </c>
      <c r="J14" s="24">
        <f>2572545000+85345000</f>
        <v>2657890000</v>
      </c>
      <c r="K14" s="24">
        <v>12122000</v>
      </c>
      <c r="L14" s="24">
        <f>+J14+K14</f>
        <v>2670012000</v>
      </c>
    </row>
    <row r="15" spans="1:12" ht="31.5">
      <c r="A15" s="19">
        <v>5</v>
      </c>
      <c r="B15" s="20" t="s">
        <v>50</v>
      </c>
      <c r="C15" s="23">
        <v>51370000</v>
      </c>
      <c r="D15" s="342"/>
      <c r="E15" s="22" t="s">
        <v>13</v>
      </c>
      <c r="F15" s="19"/>
      <c r="G15" s="19" t="s">
        <v>56</v>
      </c>
      <c r="H15" s="22" t="s">
        <v>16</v>
      </c>
      <c r="I15" s="19" t="s">
        <v>48</v>
      </c>
      <c r="J15" s="24">
        <f>+J13+J14</f>
        <v>2811922000</v>
      </c>
      <c r="K15" s="24"/>
      <c r="L15" s="24"/>
    </row>
    <row r="16" spans="1:12" ht="31.5">
      <c r="A16" s="19">
        <v>6</v>
      </c>
      <c r="B16" s="20" t="s">
        <v>51</v>
      </c>
      <c r="C16" s="23">
        <v>39094553</v>
      </c>
      <c r="D16" s="343"/>
      <c r="E16" s="22" t="s">
        <v>13</v>
      </c>
      <c r="F16" s="19"/>
      <c r="G16" s="19" t="s">
        <v>56</v>
      </c>
      <c r="H16" s="22" t="s">
        <v>16</v>
      </c>
      <c r="I16" s="19" t="s">
        <v>46</v>
      </c>
    </row>
    <row r="17" spans="1:9">
      <c r="A17" s="16"/>
      <c r="B17" s="17" t="s">
        <v>20</v>
      </c>
      <c r="C17" s="18">
        <f>SUM(C11:C16)</f>
        <v>1762391553</v>
      </c>
      <c r="D17" s="16"/>
      <c r="E17" s="16"/>
      <c r="F17" s="16"/>
      <c r="G17" s="16"/>
      <c r="H17" s="16"/>
      <c r="I17" s="16"/>
    </row>
    <row r="25" spans="1:9" ht="16.5">
      <c r="A25" s="330" t="s">
        <v>27</v>
      </c>
      <c r="B25" s="330"/>
      <c r="C25" s="330"/>
      <c r="D25" s="330"/>
      <c r="E25" s="330"/>
      <c r="F25" s="330"/>
      <c r="G25" s="330"/>
      <c r="H25" s="330"/>
      <c r="I25" s="330"/>
    </row>
    <row r="26" spans="1:9" ht="16.5">
      <c r="A26" s="331" t="s">
        <v>53</v>
      </c>
      <c r="B26" s="331"/>
      <c r="C26" s="331"/>
      <c r="D26" s="331"/>
      <c r="E26" s="331"/>
      <c r="F26" s="331"/>
      <c r="G26" s="331"/>
      <c r="H26" s="331"/>
      <c r="I26" s="331"/>
    </row>
    <row r="27" spans="1:9">
      <c r="H27" s="332" t="s">
        <v>39</v>
      </c>
      <c r="I27" s="332"/>
    </row>
    <row r="28" spans="1:9" ht="47.25">
      <c r="A28" s="10" t="s">
        <v>21</v>
      </c>
      <c r="B28" s="10" t="s">
        <v>0</v>
      </c>
      <c r="C28" s="10" t="s">
        <v>12</v>
      </c>
      <c r="D28" s="10" t="s">
        <v>1</v>
      </c>
      <c r="E28" s="10" t="s">
        <v>2</v>
      </c>
      <c r="F28" s="10" t="s">
        <v>3</v>
      </c>
      <c r="G28" s="10" t="s">
        <v>4</v>
      </c>
      <c r="H28" s="10" t="s">
        <v>5</v>
      </c>
      <c r="I28" s="10" t="s">
        <v>6</v>
      </c>
    </row>
    <row r="29" spans="1:9" ht="31.5">
      <c r="A29" s="19">
        <v>1</v>
      </c>
      <c r="B29" s="20" t="s">
        <v>40</v>
      </c>
      <c r="C29" s="21">
        <v>11113000</v>
      </c>
      <c r="D29" s="341" t="s">
        <v>42</v>
      </c>
      <c r="E29" s="22" t="s">
        <v>13</v>
      </c>
      <c r="F29" s="19"/>
      <c r="G29" s="19" t="s">
        <v>44</v>
      </c>
      <c r="H29" s="22" t="s">
        <v>16</v>
      </c>
      <c r="I29" s="19" t="s">
        <v>45</v>
      </c>
    </row>
    <row r="30" spans="1:9" ht="31.5">
      <c r="A30" s="19">
        <v>2</v>
      </c>
      <c r="B30" s="20" t="s">
        <v>52</v>
      </c>
      <c r="C30" s="21">
        <v>2000000</v>
      </c>
      <c r="D30" s="342"/>
      <c r="E30" s="22" t="s">
        <v>13</v>
      </c>
      <c r="F30" s="19"/>
      <c r="G30" s="19" t="s">
        <v>44</v>
      </c>
      <c r="H30" s="22" t="s">
        <v>16</v>
      </c>
      <c r="I30" s="19" t="s">
        <v>17</v>
      </c>
    </row>
    <row r="31" spans="1:9" ht="31.5">
      <c r="A31" s="19">
        <v>3</v>
      </c>
      <c r="B31" s="20" t="s">
        <v>41</v>
      </c>
      <c r="C31" s="21">
        <v>76755000</v>
      </c>
      <c r="D31" s="342"/>
      <c r="E31" s="22" t="s">
        <v>13</v>
      </c>
      <c r="F31" s="19"/>
      <c r="G31" s="19" t="s">
        <v>44</v>
      </c>
      <c r="H31" s="22" t="s">
        <v>16</v>
      </c>
      <c r="I31" s="19" t="s">
        <v>46</v>
      </c>
    </row>
    <row r="32" spans="1:9" ht="31.5">
      <c r="A32" s="19">
        <v>4</v>
      </c>
      <c r="B32" s="20" t="s">
        <v>49</v>
      </c>
      <c r="C32" s="21">
        <v>2670012000</v>
      </c>
      <c r="D32" s="342"/>
      <c r="E32" s="22" t="s">
        <v>43</v>
      </c>
      <c r="F32" s="19" t="s">
        <v>14</v>
      </c>
      <c r="G32" s="19" t="s">
        <v>44</v>
      </c>
      <c r="H32" s="22" t="s">
        <v>16</v>
      </c>
      <c r="I32" s="19" t="s">
        <v>47</v>
      </c>
    </row>
    <row r="33" spans="1:9" ht="31.5">
      <c r="A33" s="19">
        <v>5</v>
      </c>
      <c r="B33" s="20" t="s">
        <v>50</v>
      </c>
      <c r="C33" s="23">
        <v>84508000</v>
      </c>
      <c r="D33" s="342"/>
      <c r="E33" s="22" t="s">
        <v>13</v>
      </c>
      <c r="F33" s="19"/>
      <c r="G33" s="19" t="s">
        <v>44</v>
      </c>
      <c r="H33" s="22" t="s">
        <v>16</v>
      </c>
      <c r="I33" s="19" t="s">
        <v>48</v>
      </c>
    </row>
    <row r="34" spans="1:9" ht="31.5">
      <c r="A34" s="19">
        <v>6</v>
      </c>
      <c r="B34" s="20" t="s">
        <v>51</v>
      </c>
      <c r="C34" s="23">
        <v>7718000</v>
      </c>
      <c r="D34" s="343"/>
      <c r="E34" s="22" t="s">
        <v>13</v>
      </c>
      <c r="F34" s="19"/>
      <c r="G34" s="19" t="s">
        <v>44</v>
      </c>
      <c r="H34" s="22" t="s">
        <v>16</v>
      </c>
      <c r="I34" s="19" t="s">
        <v>46</v>
      </c>
    </row>
    <row r="35" spans="1:9">
      <c r="A35" s="16"/>
      <c r="B35" s="17" t="s">
        <v>20</v>
      </c>
      <c r="C35" s="18">
        <f>SUM(C29:C34)</f>
        <v>2852106000</v>
      </c>
      <c r="D35" s="16"/>
      <c r="E35" s="16"/>
      <c r="F35" s="16"/>
      <c r="G35" s="16"/>
      <c r="H35" s="16"/>
      <c r="I35" s="16"/>
    </row>
  </sheetData>
  <mergeCells count="8">
    <mergeCell ref="A25:I25"/>
    <mergeCell ref="A26:I26"/>
    <mergeCell ref="H27:I27"/>
    <mergeCell ref="D29:D34"/>
    <mergeCell ref="A2:I2"/>
    <mergeCell ref="A3:I3"/>
    <mergeCell ref="H4:I4"/>
    <mergeCell ref="D11:D16"/>
  </mergeCells>
  <phoneticPr fontId="4" type="noConversion"/>
  <pageMargins left="0.51" right="0.24" top="0.52" bottom="1" header="0.5" footer="0.5"/>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opLeftCell="A31" workbookViewId="0">
      <selection activeCell="B43" sqref="B43"/>
    </sheetView>
  </sheetViews>
  <sheetFormatPr defaultColWidth="9" defaultRowHeight="15.75"/>
  <cols>
    <col min="1" max="1" width="4.109375" style="1" customWidth="1"/>
    <col min="2" max="2" width="39.77734375" style="1" customWidth="1"/>
    <col min="3" max="3" width="12.77734375" style="1" customWidth="1"/>
    <col min="4" max="4" width="9.66406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2.77734375" style="1" customWidth="1"/>
    <col min="11" max="16384" width="9" style="1"/>
  </cols>
  <sheetData>
    <row r="2" spans="1:9" ht="16.5">
      <c r="A2" s="330" t="s">
        <v>27</v>
      </c>
      <c r="B2" s="330"/>
      <c r="C2" s="330"/>
      <c r="D2" s="330"/>
      <c r="E2" s="330"/>
      <c r="F2" s="330"/>
      <c r="G2" s="330"/>
      <c r="H2" s="330"/>
      <c r="I2" s="330"/>
    </row>
    <row r="3" spans="1:9" ht="16.5">
      <c r="A3" s="331" t="s">
        <v>31</v>
      </c>
      <c r="B3" s="331"/>
      <c r="C3" s="331"/>
      <c r="D3" s="331"/>
      <c r="E3" s="331"/>
      <c r="F3" s="331"/>
      <c r="G3" s="331"/>
      <c r="H3" s="331"/>
      <c r="I3" s="331"/>
    </row>
    <row r="4" spans="1:9">
      <c r="H4" s="332" t="s">
        <v>39</v>
      </c>
      <c r="I4" s="332"/>
    </row>
    <row r="5" spans="1:9" ht="47.25">
      <c r="A5" s="10" t="s">
        <v>21</v>
      </c>
      <c r="B5" s="10" t="s">
        <v>0</v>
      </c>
      <c r="C5" s="10" t="s">
        <v>12</v>
      </c>
      <c r="D5" s="10" t="s">
        <v>1</v>
      </c>
      <c r="E5" s="10" t="s">
        <v>2</v>
      </c>
      <c r="F5" s="10" t="s">
        <v>3</v>
      </c>
      <c r="G5" s="10" t="s">
        <v>4</v>
      </c>
      <c r="H5" s="10" t="s">
        <v>5</v>
      </c>
      <c r="I5" s="10" t="s">
        <v>6</v>
      </c>
    </row>
    <row r="6" spans="1:9" ht="46.9" customHeight="1">
      <c r="A6" s="19">
        <v>1</v>
      </c>
      <c r="B6" s="20" t="s">
        <v>32</v>
      </c>
      <c r="C6" s="21">
        <f>1196418000+35892000</f>
        <v>1232310000</v>
      </c>
      <c r="D6" s="370" t="s">
        <v>35</v>
      </c>
      <c r="E6" s="22" t="s">
        <v>13</v>
      </c>
      <c r="F6" s="19" t="s">
        <v>14</v>
      </c>
      <c r="G6" s="370" t="s">
        <v>36</v>
      </c>
      <c r="H6" s="22" t="s">
        <v>16</v>
      </c>
      <c r="I6" s="19" t="s">
        <v>37</v>
      </c>
    </row>
    <row r="7" spans="1:9" ht="31.5">
      <c r="A7" s="19">
        <v>2</v>
      </c>
      <c r="B7" s="20" t="s">
        <v>33</v>
      </c>
      <c r="C7" s="23">
        <v>38321000</v>
      </c>
      <c r="D7" s="370"/>
      <c r="E7" s="22" t="s">
        <v>13</v>
      </c>
      <c r="F7" s="19"/>
      <c r="G7" s="370"/>
      <c r="H7" s="22" t="s">
        <v>16</v>
      </c>
      <c r="I7" s="19" t="s">
        <v>19</v>
      </c>
    </row>
    <row r="8" spans="1:9" ht="31.5">
      <c r="A8" s="19">
        <v>3</v>
      </c>
      <c r="B8" s="20" t="s">
        <v>34</v>
      </c>
      <c r="C8" s="23">
        <v>2991000</v>
      </c>
      <c r="D8" s="370"/>
      <c r="E8" s="22" t="s">
        <v>13</v>
      </c>
      <c r="F8" s="19"/>
      <c r="G8" s="370"/>
      <c r="H8" s="22" t="s">
        <v>16</v>
      </c>
      <c r="I8" s="19" t="s">
        <v>38</v>
      </c>
    </row>
    <row r="9" spans="1:9">
      <c r="A9" s="16"/>
      <c r="B9" s="17" t="s">
        <v>20</v>
      </c>
      <c r="C9" s="18">
        <f>SUM(C6:C8)</f>
        <v>1273622000</v>
      </c>
      <c r="D9" s="16"/>
      <c r="E9" s="16"/>
      <c r="F9" s="16"/>
      <c r="G9" s="16"/>
      <c r="H9" s="16"/>
      <c r="I9" s="16"/>
    </row>
    <row r="17" ht="70.150000000000006" customHeight="1"/>
    <row r="18" ht="70.150000000000006" customHeight="1"/>
    <row r="19" ht="70.150000000000006" customHeight="1"/>
    <row r="20" ht="70.150000000000006" customHeight="1"/>
    <row r="21" ht="70.150000000000006" customHeight="1"/>
    <row r="22" ht="70.150000000000006" customHeight="1"/>
    <row r="23" ht="70.150000000000006" customHeight="1"/>
    <row r="24" ht="70.150000000000006" customHeight="1"/>
    <row r="25" ht="70.150000000000006" customHeight="1"/>
    <row r="34" spans="1:9" ht="16.5">
      <c r="A34" s="330" t="s">
        <v>27</v>
      </c>
      <c r="B34" s="330"/>
      <c r="C34" s="330"/>
      <c r="D34" s="330"/>
      <c r="E34" s="330"/>
      <c r="F34" s="330"/>
      <c r="G34" s="330"/>
      <c r="H34" s="330"/>
      <c r="I34" s="330"/>
    </row>
    <row r="35" spans="1:9" ht="16.5">
      <c r="A35" s="331" t="s">
        <v>29</v>
      </c>
      <c r="B35" s="331"/>
      <c r="C35" s="331"/>
      <c r="D35" s="331"/>
      <c r="E35" s="331"/>
      <c r="F35" s="331"/>
      <c r="G35" s="331"/>
      <c r="H35" s="331"/>
      <c r="I35" s="331"/>
    </row>
    <row r="36" spans="1:9">
      <c r="H36" s="332" t="s">
        <v>30</v>
      </c>
      <c r="I36" s="332"/>
    </row>
    <row r="37" spans="1:9" ht="47.25">
      <c r="A37" s="10" t="s">
        <v>21</v>
      </c>
      <c r="B37" s="10" t="s">
        <v>0</v>
      </c>
      <c r="C37" s="10" t="s">
        <v>12</v>
      </c>
      <c r="D37" s="10" t="s">
        <v>1</v>
      </c>
      <c r="E37" s="10" t="s">
        <v>2</v>
      </c>
      <c r="F37" s="10" t="s">
        <v>3</v>
      </c>
      <c r="G37" s="10" t="s">
        <v>4</v>
      </c>
      <c r="H37" s="10" t="s">
        <v>5</v>
      </c>
      <c r="I37" s="10" t="s">
        <v>6</v>
      </c>
    </row>
    <row r="38" spans="1:9">
      <c r="A38" s="9">
        <v>1</v>
      </c>
      <c r="B38" s="13" t="s">
        <v>8</v>
      </c>
      <c r="C38" s="11">
        <f>'[1]Tổng DC'!$F$18/1000</f>
        <v>15437</v>
      </c>
      <c r="D38" s="371" t="s">
        <v>11</v>
      </c>
      <c r="E38" s="371" t="s">
        <v>13</v>
      </c>
      <c r="F38" s="9"/>
      <c r="G38" s="341" t="s">
        <v>15</v>
      </c>
      <c r="H38" s="371" t="s">
        <v>16</v>
      </c>
      <c r="I38" s="9" t="s">
        <v>17</v>
      </c>
    </row>
    <row r="39" spans="1:9">
      <c r="A39" s="5">
        <v>2</v>
      </c>
      <c r="B39" s="14" t="s">
        <v>9</v>
      </c>
      <c r="C39" s="12">
        <f>ROUND('[1]Tổng DC'!$F$19+'[1]Tổng DC'!$F$20,-3)/1000</f>
        <v>93153</v>
      </c>
      <c r="D39" s="372"/>
      <c r="E39" s="372"/>
      <c r="F39" s="5"/>
      <c r="G39" s="371"/>
      <c r="H39" s="372"/>
      <c r="I39" s="5" t="s">
        <v>23</v>
      </c>
    </row>
    <row r="40" spans="1:9" ht="31.5">
      <c r="A40" s="5">
        <v>3</v>
      </c>
      <c r="B40" s="14" t="s">
        <v>7</v>
      </c>
      <c r="C40" s="12">
        <f>('[1]Tổng DC'!$F$10+'[1]Tổng DC'!$F$27)/1000</f>
        <v>2000511</v>
      </c>
      <c r="D40" s="372"/>
      <c r="E40" s="372"/>
      <c r="F40" s="5" t="s">
        <v>14</v>
      </c>
      <c r="G40" s="373" t="s">
        <v>22</v>
      </c>
      <c r="H40" s="372"/>
      <c r="I40" s="5" t="s">
        <v>18</v>
      </c>
    </row>
    <row r="41" spans="1:9">
      <c r="A41" s="5">
        <v>4</v>
      </c>
      <c r="B41" s="14" t="s">
        <v>10</v>
      </c>
      <c r="C41" s="6">
        <f>'[1]Tổng DC'!$F$28/1000</f>
        <v>9954</v>
      </c>
      <c r="D41" s="372"/>
      <c r="E41" s="372"/>
      <c r="F41" s="5"/>
      <c r="G41" s="371"/>
      <c r="H41" s="372"/>
      <c r="I41" s="5" t="s">
        <v>19</v>
      </c>
    </row>
    <row r="42" spans="1:9">
      <c r="A42" s="7"/>
      <c r="B42" s="15" t="s">
        <v>20</v>
      </c>
      <c r="C42" s="8">
        <f>SUM(C38:C41)</f>
        <v>2119055</v>
      </c>
      <c r="D42" s="7"/>
      <c r="E42" s="7"/>
      <c r="F42" s="7"/>
      <c r="G42" s="7"/>
      <c r="H42" s="7"/>
      <c r="I42" s="7"/>
    </row>
  </sheetData>
  <mergeCells count="13">
    <mergeCell ref="D38:D41"/>
    <mergeCell ref="E38:E41"/>
    <mergeCell ref="G38:G39"/>
    <mergeCell ref="H38:H41"/>
    <mergeCell ref="G40:G41"/>
    <mergeCell ref="A2:I2"/>
    <mergeCell ref="A3:I3"/>
    <mergeCell ref="A35:I35"/>
    <mergeCell ref="H36:I36"/>
    <mergeCell ref="H4:I4"/>
    <mergeCell ref="D6:D8"/>
    <mergeCell ref="G6:G8"/>
    <mergeCell ref="A34:I34"/>
  </mergeCells>
  <phoneticPr fontId="4" type="noConversion"/>
  <pageMargins left="0.75" right="0.2" top="0.66" bottom="1" header="0.5" footer="0.5"/>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4"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A4" workbookViewId="0">
      <selection activeCell="C7" sqref="C7"/>
    </sheetView>
  </sheetViews>
  <sheetFormatPr defaultColWidth="9" defaultRowHeight="15.75"/>
  <cols>
    <col min="1" max="1" width="4.109375" style="1" customWidth="1"/>
    <col min="2" max="2" width="17.44140625" style="1" customWidth="1"/>
    <col min="3" max="3" width="10.109375" style="1" customWidth="1"/>
    <col min="4" max="4" width="8.21875" style="1" customWidth="1"/>
    <col min="5" max="5" width="8.77734375" style="1" customWidth="1"/>
    <col min="6" max="6" width="8.6640625" style="1" customWidth="1"/>
    <col min="7" max="7" width="10.6640625" style="1" customWidth="1"/>
    <col min="8" max="8" width="8.109375" style="1" customWidth="1"/>
    <col min="9" max="9" width="8.77734375" style="1" customWidth="1"/>
    <col min="10" max="10" width="12.77734375" style="1" customWidth="1"/>
    <col min="11" max="16384" width="9" style="1"/>
  </cols>
  <sheetData>
    <row r="1" spans="1:11" ht="33" customHeight="1">
      <c r="A1" s="330" t="s">
        <v>24</v>
      </c>
      <c r="B1" s="330"/>
      <c r="C1" s="330"/>
      <c r="D1" s="330"/>
      <c r="E1" s="330"/>
      <c r="F1" s="330"/>
      <c r="G1" s="330"/>
      <c r="H1" s="330"/>
      <c r="I1" s="330"/>
    </row>
    <row r="2" spans="1:11" ht="36" customHeight="1">
      <c r="A2" s="331" t="s">
        <v>26</v>
      </c>
      <c r="B2" s="331"/>
      <c r="C2" s="331"/>
      <c r="D2" s="331"/>
      <c r="E2" s="331"/>
      <c r="F2" s="331"/>
      <c r="G2" s="331"/>
      <c r="H2" s="331"/>
      <c r="I2" s="331"/>
    </row>
    <row r="3" spans="1:11" ht="32.25" customHeight="1">
      <c r="H3" s="374" t="s">
        <v>25</v>
      </c>
      <c r="I3" s="374"/>
    </row>
    <row r="4" spans="1:11" s="3" customFormat="1" ht="76.5" customHeight="1">
      <c r="A4" s="10" t="s">
        <v>21</v>
      </c>
      <c r="B4" s="10" t="s">
        <v>0</v>
      </c>
      <c r="C4" s="10" t="s">
        <v>12</v>
      </c>
      <c r="D4" s="10" t="s">
        <v>1</v>
      </c>
      <c r="E4" s="10" t="s">
        <v>2</v>
      </c>
      <c r="F4" s="10" t="s">
        <v>3</v>
      </c>
      <c r="G4" s="10" t="s">
        <v>4</v>
      </c>
      <c r="H4" s="10" t="s">
        <v>5</v>
      </c>
      <c r="I4" s="10" t="s">
        <v>6</v>
      </c>
    </row>
    <row r="5" spans="1:11" s="3" customFormat="1" ht="61.5" customHeight="1">
      <c r="A5" s="9">
        <v>1</v>
      </c>
      <c r="B5" s="9" t="s">
        <v>8</v>
      </c>
      <c r="C5" s="11">
        <f>'[1]Tổng DC'!$F$18/1000</f>
        <v>15437</v>
      </c>
      <c r="D5" s="371" t="s">
        <v>11</v>
      </c>
      <c r="E5" s="371" t="s">
        <v>13</v>
      </c>
      <c r="F5" s="9"/>
      <c r="G5" s="341" t="s">
        <v>15</v>
      </c>
      <c r="H5" s="371" t="s">
        <v>16</v>
      </c>
      <c r="I5" s="9" t="s">
        <v>17</v>
      </c>
    </row>
    <row r="6" spans="1:11" s="3" customFormat="1" ht="60" customHeight="1">
      <c r="A6" s="5">
        <v>2</v>
      </c>
      <c r="B6" s="5" t="s">
        <v>9</v>
      </c>
      <c r="C6" s="12">
        <f>ROUND('[1]Tổng DC'!$F$19+'[1]Tổng DC'!$F$20,-3)/1000</f>
        <v>93153</v>
      </c>
      <c r="D6" s="372"/>
      <c r="E6" s="372"/>
      <c r="F6" s="5"/>
      <c r="G6" s="371"/>
      <c r="H6" s="372"/>
      <c r="I6" s="5" t="s">
        <v>23</v>
      </c>
    </row>
    <row r="7" spans="1:11" s="4" customFormat="1" ht="69" customHeight="1">
      <c r="A7" s="5">
        <v>3</v>
      </c>
      <c r="B7" s="5" t="s">
        <v>7</v>
      </c>
      <c r="C7" s="12">
        <f>('[1]Tổng DC'!$F$10+'[1]Tổng DC'!$F$27)/1000</f>
        <v>2000511</v>
      </c>
      <c r="D7" s="372"/>
      <c r="E7" s="372"/>
      <c r="F7" s="5" t="s">
        <v>14</v>
      </c>
      <c r="G7" s="373" t="s">
        <v>22</v>
      </c>
      <c r="H7" s="372"/>
      <c r="I7" s="5" t="s">
        <v>18</v>
      </c>
      <c r="J7" s="4">
        <v>1990739</v>
      </c>
      <c r="K7" s="4">
        <f>+J7+9772</f>
        <v>2000511</v>
      </c>
    </row>
    <row r="8" spans="1:11" s="4" customFormat="1" ht="53.25" customHeight="1">
      <c r="A8" s="5">
        <v>4</v>
      </c>
      <c r="B8" s="5" t="s">
        <v>10</v>
      </c>
      <c r="C8" s="6">
        <f>'[1]Tổng DC'!$F$28/1000</f>
        <v>9954</v>
      </c>
      <c r="D8" s="372"/>
      <c r="E8" s="372"/>
      <c r="F8" s="5"/>
      <c r="G8" s="371"/>
      <c r="H8" s="372"/>
      <c r="I8" s="5" t="s">
        <v>19</v>
      </c>
      <c r="J8" s="4">
        <f>+J7*10%</f>
        <v>199073.90000000002</v>
      </c>
    </row>
    <row r="9" spans="1:11" s="3" customFormat="1" ht="38.25" customHeight="1">
      <c r="A9" s="7"/>
      <c r="B9" s="7" t="s">
        <v>20</v>
      </c>
      <c r="C9" s="8">
        <f>SUM(C5:C8)</f>
        <v>2119055</v>
      </c>
      <c r="D9" s="7"/>
      <c r="E9" s="7"/>
      <c r="F9" s="7"/>
      <c r="G9" s="7"/>
      <c r="H9" s="7"/>
      <c r="I9" s="7"/>
      <c r="J9" s="3">
        <f>+J7+J8</f>
        <v>2189812.9</v>
      </c>
    </row>
    <row r="10" spans="1:11" s="2" customFormat="1"/>
  </sheetData>
  <mergeCells count="8">
    <mergeCell ref="D5:D8"/>
    <mergeCell ref="E5:E8"/>
    <mergeCell ref="H5:H8"/>
    <mergeCell ref="A1:I1"/>
    <mergeCell ref="A2:I2"/>
    <mergeCell ref="G7:G8"/>
    <mergeCell ref="G5:G6"/>
    <mergeCell ref="H3:I3"/>
  </mergeCells>
  <phoneticPr fontId="4" type="noConversion"/>
  <pageMargins left="0.61" right="0.51" top="0.82" bottom="1" header="0.72"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5" workbookViewId="0">
      <selection activeCell="A26" sqref="A26:IV36"/>
    </sheetView>
  </sheetViews>
  <sheetFormatPr defaultColWidth="9" defaultRowHeight="15.75"/>
  <cols>
    <col min="1" max="1" width="4.109375" style="1" customWidth="1"/>
    <col min="2" max="2" width="42.109375" style="1" customWidth="1"/>
    <col min="3" max="3" width="10.109375" style="1" customWidth="1"/>
    <col min="4" max="4" width="9.66406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2.77734375" style="1" customWidth="1"/>
    <col min="11" max="16384" width="9" style="1"/>
  </cols>
  <sheetData>
    <row r="1" spans="1:11" ht="33" customHeight="1">
      <c r="A1" s="330" t="s">
        <v>27</v>
      </c>
      <c r="B1" s="330"/>
      <c r="C1" s="330"/>
      <c r="D1" s="330"/>
      <c r="E1" s="330"/>
      <c r="F1" s="330"/>
      <c r="G1" s="330"/>
      <c r="H1" s="330"/>
      <c r="I1" s="330"/>
    </row>
    <row r="2" spans="1:11" ht="36" customHeight="1">
      <c r="A2" s="331" t="s">
        <v>28</v>
      </c>
      <c r="B2" s="331"/>
      <c r="C2" s="331"/>
      <c r="D2" s="331"/>
      <c r="E2" s="331"/>
      <c r="F2" s="331"/>
      <c r="G2" s="331"/>
      <c r="H2" s="331"/>
      <c r="I2" s="331"/>
    </row>
    <row r="3" spans="1:11" ht="32.25" customHeight="1">
      <c r="H3" s="374" t="s">
        <v>25</v>
      </c>
      <c r="I3" s="374"/>
    </row>
    <row r="4" spans="1:11" s="3" customFormat="1" ht="47.25">
      <c r="A4" s="10" t="s">
        <v>21</v>
      </c>
      <c r="B4" s="10" t="s">
        <v>0</v>
      </c>
      <c r="C4" s="10" t="s">
        <v>12</v>
      </c>
      <c r="D4" s="10" t="s">
        <v>1</v>
      </c>
      <c r="E4" s="10" t="s">
        <v>2</v>
      </c>
      <c r="F4" s="10" t="s">
        <v>3</v>
      </c>
      <c r="G4" s="10" t="s">
        <v>4</v>
      </c>
      <c r="H4" s="10" t="s">
        <v>5</v>
      </c>
      <c r="I4" s="10" t="s">
        <v>6</v>
      </c>
    </row>
    <row r="5" spans="1:11" s="3" customFormat="1">
      <c r="A5" s="9">
        <v>1</v>
      </c>
      <c r="B5" s="13" t="s">
        <v>8</v>
      </c>
      <c r="C5" s="11">
        <f>'[1]Tổng DC'!$F$18/1000</f>
        <v>15437</v>
      </c>
      <c r="D5" s="371" t="s">
        <v>11</v>
      </c>
      <c r="E5" s="371" t="s">
        <v>13</v>
      </c>
      <c r="F5" s="9"/>
      <c r="G5" s="341" t="s">
        <v>15</v>
      </c>
      <c r="H5" s="371" t="s">
        <v>16</v>
      </c>
      <c r="I5" s="9" t="s">
        <v>17</v>
      </c>
    </row>
    <row r="6" spans="1:11" s="3" customFormat="1">
      <c r="A6" s="5">
        <v>2</v>
      </c>
      <c r="B6" s="14" t="s">
        <v>9</v>
      </c>
      <c r="C6" s="12">
        <f>ROUND('[1]Tổng DC'!$F$19+'[1]Tổng DC'!$F$20,-3)/1000</f>
        <v>93153</v>
      </c>
      <c r="D6" s="372"/>
      <c r="E6" s="372"/>
      <c r="F6" s="5"/>
      <c r="G6" s="371"/>
      <c r="H6" s="372"/>
      <c r="I6" s="5" t="s">
        <v>23</v>
      </c>
    </row>
    <row r="7" spans="1:11" s="4" customFormat="1" ht="31.5">
      <c r="A7" s="5">
        <v>3</v>
      </c>
      <c r="B7" s="14" t="s">
        <v>7</v>
      </c>
      <c r="C7" s="12">
        <f>('[1]Tổng DC'!$F$10+'[1]Tổng DC'!$F$27)/1000</f>
        <v>2000511</v>
      </c>
      <c r="D7" s="372"/>
      <c r="E7" s="372"/>
      <c r="F7" s="5" t="s">
        <v>14</v>
      </c>
      <c r="G7" s="373" t="s">
        <v>22</v>
      </c>
      <c r="H7" s="372"/>
      <c r="I7" s="5" t="s">
        <v>18</v>
      </c>
      <c r="J7" s="4">
        <v>1990739</v>
      </c>
      <c r="K7" s="4">
        <f>+J7+9772</f>
        <v>2000511</v>
      </c>
    </row>
    <row r="8" spans="1:11" s="4" customFormat="1">
      <c r="A8" s="5">
        <v>4</v>
      </c>
      <c r="B8" s="14" t="s">
        <v>10</v>
      </c>
      <c r="C8" s="6">
        <f>'[1]Tổng DC'!$F$28/1000</f>
        <v>9954</v>
      </c>
      <c r="D8" s="372"/>
      <c r="E8" s="372"/>
      <c r="F8" s="5"/>
      <c r="G8" s="371"/>
      <c r="H8" s="372"/>
      <c r="I8" s="5" t="s">
        <v>19</v>
      </c>
      <c r="J8" s="4">
        <f>+J7*10%</f>
        <v>199073.90000000002</v>
      </c>
    </row>
    <row r="9" spans="1:11" s="3" customFormat="1">
      <c r="A9" s="7"/>
      <c r="B9" s="15" t="s">
        <v>20</v>
      </c>
      <c r="C9" s="8">
        <f>SUM(C5:C8)</f>
        <v>2119055</v>
      </c>
      <c r="D9" s="7"/>
      <c r="E9" s="7"/>
      <c r="F9" s="7"/>
      <c r="G9" s="7"/>
      <c r="H9" s="7"/>
      <c r="I9" s="7"/>
      <c r="J9" s="3">
        <f>+J7+J8</f>
        <v>2189812.9</v>
      </c>
    </row>
    <row r="10" spans="1:11" s="2" customFormat="1"/>
    <row r="28" spans="1:9" ht="16.5">
      <c r="A28" s="330" t="s">
        <v>27</v>
      </c>
      <c r="B28" s="330"/>
      <c r="C28" s="330"/>
      <c r="D28" s="330"/>
      <c r="E28" s="330"/>
      <c r="F28" s="330"/>
      <c r="G28" s="330"/>
      <c r="H28" s="330"/>
      <c r="I28" s="330"/>
    </row>
    <row r="29" spans="1:9" ht="16.5">
      <c r="A29" s="331" t="s">
        <v>29</v>
      </c>
      <c r="B29" s="331"/>
      <c r="C29" s="331"/>
      <c r="D29" s="331"/>
      <c r="E29" s="331"/>
      <c r="F29" s="331"/>
      <c r="G29" s="331"/>
      <c r="H29" s="331"/>
      <c r="I29" s="331"/>
    </row>
    <row r="30" spans="1:9">
      <c r="H30" s="332" t="s">
        <v>30</v>
      </c>
      <c r="I30" s="332"/>
    </row>
    <row r="31" spans="1:9" ht="47.25">
      <c r="A31" s="10" t="s">
        <v>21</v>
      </c>
      <c r="B31" s="10" t="s">
        <v>0</v>
      </c>
      <c r="C31" s="10" t="s">
        <v>12</v>
      </c>
      <c r="D31" s="10" t="s">
        <v>1</v>
      </c>
      <c r="E31" s="10" t="s">
        <v>2</v>
      </c>
      <c r="F31" s="10" t="s">
        <v>3</v>
      </c>
      <c r="G31" s="10" t="s">
        <v>4</v>
      </c>
      <c r="H31" s="10" t="s">
        <v>5</v>
      </c>
      <c r="I31" s="10" t="s">
        <v>6</v>
      </c>
    </row>
    <row r="32" spans="1:9">
      <c r="A32" s="9">
        <v>1</v>
      </c>
      <c r="B32" s="13" t="s">
        <v>8</v>
      </c>
      <c r="C32" s="11">
        <f>'[1]Tổng DC'!$F$18/1000</f>
        <v>15437</v>
      </c>
      <c r="D32" s="371" t="s">
        <v>11</v>
      </c>
      <c r="E32" s="371" t="s">
        <v>13</v>
      </c>
      <c r="F32" s="9"/>
      <c r="G32" s="341" t="s">
        <v>15</v>
      </c>
      <c r="H32" s="371" t="s">
        <v>16</v>
      </c>
      <c r="I32" s="9" t="s">
        <v>17</v>
      </c>
    </row>
    <row r="33" spans="1:9">
      <c r="A33" s="5">
        <v>2</v>
      </c>
      <c r="B33" s="14" t="s">
        <v>9</v>
      </c>
      <c r="C33" s="12">
        <f>ROUND('[1]Tổng DC'!$F$19+'[1]Tổng DC'!$F$20,-3)/1000</f>
        <v>93153</v>
      </c>
      <c r="D33" s="372"/>
      <c r="E33" s="372"/>
      <c r="F33" s="5"/>
      <c r="G33" s="371"/>
      <c r="H33" s="372"/>
      <c r="I33" s="5" t="s">
        <v>23</v>
      </c>
    </row>
    <row r="34" spans="1:9" ht="31.5">
      <c r="A34" s="5">
        <v>3</v>
      </c>
      <c r="B34" s="14" t="s">
        <v>7</v>
      </c>
      <c r="C34" s="12">
        <f>('[1]Tổng DC'!$F$10+'[1]Tổng DC'!$F$27)/1000</f>
        <v>2000511</v>
      </c>
      <c r="D34" s="372"/>
      <c r="E34" s="372"/>
      <c r="F34" s="5" t="s">
        <v>14</v>
      </c>
      <c r="G34" s="373" t="s">
        <v>22</v>
      </c>
      <c r="H34" s="372"/>
      <c r="I34" s="5" t="s">
        <v>18</v>
      </c>
    </row>
    <row r="35" spans="1:9">
      <c r="A35" s="5">
        <v>4</v>
      </c>
      <c r="B35" s="14" t="s">
        <v>10</v>
      </c>
      <c r="C35" s="6">
        <f>'[1]Tổng DC'!$F$28/1000</f>
        <v>9954</v>
      </c>
      <c r="D35" s="372"/>
      <c r="E35" s="372"/>
      <c r="F35" s="5"/>
      <c r="G35" s="371"/>
      <c r="H35" s="372"/>
      <c r="I35" s="5" t="s">
        <v>19</v>
      </c>
    </row>
    <row r="36" spans="1:9">
      <c r="A36" s="7"/>
      <c r="B36" s="15" t="s">
        <v>20</v>
      </c>
      <c r="C36" s="8">
        <f>SUM(C32:C35)</f>
        <v>2119055</v>
      </c>
      <c r="D36" s="7"/>
      <c r="E36" s="7"/>
      <c r="F36" s="7"/>
      <c r="G36" s="7"/>
      <c r="H36" s="7"/>
      <c r="I36" s="7"/>
    </row>
  </sheetData>
  <mergeCells count="16">
    <mergeCell ref="A28:I28"/>
    <mergeCell ref="A29:I29"/>
    <mergeCell ref="H30:I30"/>
    <mergeCell ref="D32:D35"/>
    <mergeCell ref="E32:E35"/>
    <mergeCell ref="G32:G33"/>
    <mergeCell ref="H32:H35"/>
    <mergeCell ref="G34:G35"/>
    <mergeCell ref="A1:I1"/>
    <mergeCell ref="A2:I2"/>
    <mergeCell ref="H3:I3"/>
    <mergeCell ref="D5:D8"/>
    <mergeCell ref="E5:E8"/>
    <mergeCell ref="G5:G6"/>
    <mergeCell ref="H5:H8"/>
    <mergeCell ref="G7:G8"/>
  </mergeCells>
  <phoneticPr fontId="4" type="noConversion"/>
  <pageMargins left="0.44" right="0.31" top="0.56000000000000005" bottom="0.35"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workbookViewId="0">
      <selection activeCell="A10"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403</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93183000</v>
      </c>
      <c r="D5" s="221"/>
      <c r="E5" s="222"/>
      <c r="F5" s="222"/>
      <c r="G5" s="222"/>
      <c r="H5" s="222"/>
      <c r="I5" s="222"/>
      <c r="J5" s="225"/>
    </row>
    <row r="6" spans="1:10">
      <c r="A6" s="226" t="s">
        <v>77</v>
      </c>
      <c r="B6" s="227" t="s">
        <v>290</v>
      </c>
      <c r="C6" s="228">
        <v>83519000</v>
      </c>
      <c r="D6" s="326" t="s">
        <v>373</v>
      </c>
      <c r="E6" s="229" t="s">
        <v>13</v>
      </c>
      <c r="F6" s="222"/>
      <c r="G6" s="230"/>
      <c r="H6" s="229" t="s">
        <v>16</v>
      </c>
      <c r="I6" s="230" t="s">
        <v>66</v>
      </c>
      <c r="J6" s="225"/>
    </row>
    <row r="7" spans="1:10">
      <c r="A7" s="226" t="s">
        <v>77</v>
      </c>
      <c r="B7" s="227" t="s">
        <v>80</v>
      </c>
      <c r="C7" s="228">
        <v>7476000</v>
      </c>
      <c r="D7" s="319"/>
      <c r="E7" s="229" t="s">
        <v>13</v>
      </c>
      <c r="F7" s="231"/>
      <c r="G7" s="231"/>
      <c r="H7" s="229" t="s">
        <v>16</v>
      </c>
      <c r="I7" s="230" t="s">
        <v>45</v>
      </c>
      <c r="J7" s="221"/>
    </row>
    <row r="8" spans="1:10">
      <c r="A8" s="226" t="s">
        <v>77</v>
      </c>
      <c r="B8" s="227" t="s">
        <v>366</v>
      </c>
      <c r="C8" s="228">
        <v>2000000</v>
      </c>
      <c r="D8" s="319"/>
      <c r="E8" s="231"/>
      <c r="F8" s="231"/>
      <c r="G8" s="231"/>
      <c r="H8" s="231"/>
      <c r="I8" s="231"/>
      <c r="J8" s="221"/>
    </row>
    <row r="9" spans="1:10">
      <c r="A9" s="226" t="s">
        <v>77</v>
      </c>
      <c r="B9" s="227" t="s">
        <v>61</v>
      </c>
      <c r="C9" s="228">
        <v>188000</v>
      </c>
      <c r="D9" s="319"/>
      <c r="E9" s="231"/>
      <c r="F9" s="231"/>
      <c r="G9" s="231"/>
      <c r="H9" s="231"/>
      <c r="I9" s="231"/>
      <c r="J9" s="221"/>
    </row>
    <row r="10" spans="1:10">
      <c r="A10" s="221" t="s">
        <v>60</v>
      </c>
      <c r="B10" s="223" t="s">
        <v>76</v>
      </c>
      <c r="C10" s="224">
        <f>+C11+C15</f>
        <v>1406817400</v>
      </c>
      <c r="D10" s="319"/>
      <c r="E10" s="222"/>
      <c r="F10" s="222"/>
      <c r="G10" s="222"/>
      <c r="H10" s="222"/>
      <c r="I10" s="222"/>
      <c r="J10" s="225"/>
    </row>
    <row r="11" spans="1:10" ht="31.5">
      <c r="A11" s="221" t="s">
        <v>78</v>
      </c>
      <c r="B11" s="223" t="s">
        <v>58</v>
      </c>
      <c r="C11" s="224">
        <f>SUM(C12:C14)</f>
        <v>57665400</v>
      </c>
      <c r="D11" s="319"/>
      <c r="E11" s="222"/>
      <c r="F11" s="222"/>
      <c r="G11" s="222"/>
      <c r="H11" s="222"/>
      <c r="I11" s="222"/>
      <c r="J11" s="225"/>
    </row>
    <row r="12" spans="1:10">
      <c r="A12" s="226" t="s">
        <v>77</v>
      </c>
      <c r="B12" s="227" t="s">
        <v>158</v>
      </c>
      <c r="C12" s="228">
        <v>17728000</v>
      </c>
      <c r="D12" s="319"/>
      <c r="E12" s="231"/>
      <c r="F12" s="231"/>
      <c r="G12" s="231"/>
      <c r="H12" s="231"/>
      <c r="I12" s="231"/>
      <c r="J12" s="328"/>
    </row>
    <row r="13" spans="1:10" s="244" customFormat="1">
      <c r="A13" s="237" t="s">
        <v>77</v>
      </c>
      <c r="B13" s="238" t="s">
        <v>383</v>
      </c>
      <c r="C13" s="264">
        <f>43044000*0.6</f>
        <v>25826400</v>
      </c>
      <c r="D13" s="319"/>
      <c r="E13" s="240"/>
      <c r="F13" s="265"/>
      <c r="G13" s="241"/>
      <c r="H13" s="240"/>
      <c r="I13" s="241"/>
      <c r="J13" s="328"/>
    </row>
    <row r="14" spans="1:10" s="244" customFormat="1">
      <c r="A14" s="237" t="s">
        <v>77</v>
      </c>
      <c r="B14" s="238" t="s">
        <v>63</v>
      </c>
      <c r="C14" s="239">
        <v>14111000</v>
      </c>
      <c r="D14" s="319"/>
      <c r="E14" s="262"/>
      <c r="F14" s="262"/>
      <c r="G14" s="262"/>
      <c r="H14" s="262"/>
      <c r="I14" s="262"/>
      <c r="J14" s="328"/>
    </row>
    <row r="15" spans="1:10">
      <c r="A15" s="221" t="s">
        <v>81</v>
      </c>
      <c r="B15" s="223" t="s">
        <v>59</v>
      </c>
      <c r="C15" s="224">
        <f>ROUND(SUM(C16:C21),-3)</f>
        <v>1349152000</v>
      </c>
      <c r="D15" s="319"/>
      <c r="E15" s="222"/>
      <c r="F15" s="222"/>
      <c r="G15" s="222"/>
      <c r="H15" s="222"/>
      <c r="I15" s="222"/>
      <c r="J15" s="225"/>
    </row>
    <row r="16" spans="1:10" ht="31.5">
      <c r="A16" s="226" t="s">
        <v>77</v>
      </c>
      <c r="B16" s="227" t="s">
        <v>371</v>
      </c>
      <c r="C16" s="228">
        <v>6844000</v>
      </c>
      <c r="D16" s="319"/>
      <c r="E16" s="229" t="s">
        <v>13</v>
      </c>
      <c r="F16" s="230"/>
      <c r="G16" s="230" t="s">
        <v>396</v>
      </c>
      <c r="H16" s="229" t="s">
        <v>16</v>
      </c>
      <c r="I16" s="230" t="s">
        <v>45</v>
      </c>
      <c r="J16" s="245"/>
    </row>
    <row r="17" spans="1:10" ht="31.5">
      <c r="A17" s="226" t="s">
        <v>77</v>
      </c>
      <c r="B17" s="227" t="s">
        <v>369</v>
      </c>
      <c r="C17" s="228">
        <v>2000000</v>
      </c>
      <c r="D17" s="319"/>
      <c r="E17" s="229" t="s">
        <v>13</v>
      </c>
      <c r="F17" s="230"/>
      <c r="G17" s="230" t="s">
        <v>396</v>
      </c>
      <c r="H17" s="229" t="s">
        <v>16</v>
      </c>
      <c r="I17" s="230" t="s">
        <v>17</v>
      </c>
      <c r="J17" s="245"/>
    </row>
    <row r="18" spans="1:10" ht="30">
      <c r="A18" s="226" t="s">
        <v>77</v>
      </c>
      <c r="B18" s="227" t="s">
        <v>387</v>
      </c>
      <c r="C18" s="264">
        <f>43044000*0.4</f>
        <v>17217600</v>
      </c>
      <c r="D18" s="319"/>
      <c r="E18" s="229" t="s">
        <v>13</v>
      </c>
      <c r="F18" s="222"/>
      <c r="G18" s="230" t="s">
        <v>396</v>
      </c>
      <c r="H18" s="229" t="s">
        <v>16</v>
      </c>
      <c r="I18" s="230" t="s">
        <v>46</v>
      </c>
      <c r="J18" s="225"/>
    </row>
    <row r="19" spans="1:10" ht="45">
      <c r="A19" s="226" t="s">
        <v>77</v>
      </c>
      <c r="B19" s="227" t="s">
        <v>401</v>
      </c>
      <c r="C19" s="228">
        <f>1089233000+157326000+33248000</f>
        <v>1279807000</v>
      </c>
      <c r="D19" s="319"/>
      <c r="E19" s="229" t="s">
        <v>389</v>
      </c>
      <c r="F19" s="230" t="s">
        <v>14</v>
      </c>
      <c r="G19" s="230" t="s">
        <v>396</v>
      </c>
      <c r="H19" s="229" t="s">
        <v>16</v>
      </c>
      <c r="I19" s="230" t="s">
        <v>47</v>
      </c>
      <c r="J19" s="245"/>
    </row>
    <row r="20" spans="1:10" ht="31.5">
      <c r="A20" s="226" t="s">
        <v>77</v>
      </c>
      <c r="B20" s="227" t="s">
        <v>372</v>
      </c>
      <c r="C20" s="228">
        <v>40015000</v>
      </c>
      <c r="D20" s="319"/>
      <c r="E20" s="229" t="s">
        <v>13</v>
      </c>
      <c r="F20" s="229"/>
      <c r="G20" s="230" t="s">
        <v>396</v>
      </c>
      <c r="H20" s="229" t="s">
        <v>16</v>
      </c>
      <c r="I20" s="230" t="s">
        <v>48</v>
      </c>
      <c r="J20" s="236"/>
    </row>
    <row r="21" spans="1:10" ht="30">
      <c r="A21" s="226" t="s">
        <v>77</v>
      </c>
      <c r="B21" s="227" t="s">
        <v>51</v>
      </c>
      <c r="C21" s="228">
        <v>3268000</v>
      </c>
      <c r="D21" s="327"/>
      <c r="E21" s="229" t="s">
        <v>13</v>
      </c>
      <c r="F21" s="229"/>
      <c r="G21" s="230" t="s">
        <v>396</v>
      </c>
      <c r="H21" s="229" t="s">
        <v>16</v>
      </c>
      <c r="I21" s="230" t="s">
        <v>46</v>
      </c>
      <c r="J21" s="225"/>
    </row>
    <row r="22" spans="1:10">
      <c r="A22" s="221"/>
      <c r="B22" s="223" t="s">
        <v>64</v>
      </c>
      <c r="C22" s="224">
        <f>ROUND((C5+C10),-3)</f>
        <v>1500000000</v>
      </c>
      <c r="D22" s="222"/>
      <c r="E22" s="222"/>
      <c r="F22" s="222"/>
      <c r="G22" s="222"/>
      <c r="H22" s="222"/>
      <c r="I22" s="222"/>
      <c r="J22" s="225"/>
    </row>
    <row r="23" spans="1:10" ht="21.75" customHeight="1">
      <c r="A23" s="316" t="s">
        <v>27</v>
      </c>
      <c r="B23" s="316"/>
      <c r="C23" s="316"/>
      <c r="D23" s="316"/>
      <c r="E23" s="316"/>
      <c r="F23" s="316"/>
      <c r="G23" s="316"/>
      <c r="H23" s="316"/>
      <c r="I23" s="316"/>
    </row>
    <row r="24" spans="1:10" ht="16.5">
      <c r="A24" s="317" t="s">
        <v>402</v>
      </c>
      <c r="B24" s="317"/>
      <c r="C24" s="317"/>
      <c r="D24" s="317"/>
      <c r="E24" s="317"/>
      <c r="F24" s="317"/>
      <c r="G24" s="317"/>
      <c r="H24" s="317"/>
      <c r="I24" s="317"/>
    </row>
    <row r="25" spans="1:10">
      <c r="H25" s="318"/>
      <c r="I25" s="318"/>
    </row>
    <row r="26" spans="1:10" ht="63">
      <c r="A26" s="221" t="s">
        <v>21</v>
      </c>
      <c r="B26" s="221" t="s">
        <v>0</v>
      </c>
      <c r="C26" s="221" t="s">
        <v>83</v>
      </c>
      <c r="D26" s="221" t="s">
        <v>1</v>
      </c>
      <c r="E26" s="221" t="s">
        <v>2</v>
      </c>
      <c r="F26" s="221" t="s">
        <v>3</v>
      </c>
      <c r="G26" s="221" t="s">
        <v>4</v>
      </c>
      <c r="H26" s="221" t="s">
        <v>5</v>
      </c>
      <c r="I26" s="221" t="s">
        <v>6</v>
      </c>
      <c r="J26" s="221" t="s">
        <v>65</v>
      </c>
    </row>
    <row r="27" spans="1:10">
      <c r="A27" s="221" t="s">
        <v>57</v>
      </c>
      <c r="B27" s="223" t="s">
        <v>75</v>
      </c>
      <c r="C27" s="224">
        <f>SUM(C28:C31)</f>
        <v>93183000</v>
      </c>
      <c r="D27" s="221"/>
      <c r="E27" s="222"/>
      <c r="F27" s="222"/>
      <c r="G27" s="222"/>
      <c r="H27" s="222"/>
      <c r="I27" s="222"/>
      <c r="J27" s="225"/>
    </row>
    <row r="28" spans="1:10" ht="31.5" customHeight="1">
      <c r="A28" s="226" t="s">
        <v>77</v>
      </c>
      <c r="B28" s="227" t="s">
        <v>290</v>
      </c>
      <c r="C28" s="228">
        <v>83519000</v>
      </c>
      <c r="D28" s="326" t="s">
        <v>373</v>
      </c>
      <c r="E28" s="229" t="s">
        <v>13</v>
      </c>
      <c r="F28" s="222"/>
      <c r="G28" s="230"/>
      <c r="H28" s="229" t="s">
        <v>16</v>
      </c>
      <c r="I28" s="230" t="s">
        <v>66</v>
      </c>
      <c r="J28" s="225"/>
    </row>
    <row r="29" spans="1:10">
      <c r="A29" s="226" t="s">
        <v>77</v>
      </c>
      <c r="B29" s="227" t="s">
        <v>80</v>
      </c>
      <c r="C29" s="228">
        <v>7476000</v>
      </c>
      <c r="D29" s="319"/>
      <c r="E29" s="229" t="s">
        <v>13</v>
      </c>
      <c r="F29" s="231"/>
      <c r="G29" s="231"/>
      <c r="H29" s="229" t="s">
        <v>16</v>
      </c>
      <c r="I29" s="230" t="s">
        <v>45</v>
      </c>
      <c r="J29" s="221"/>
    </row>
    <row r="30" spans="1:10">
      <c r="A30" s="226" t="s">
        <v>77</v>
      </c>
      <c r="B30" s="227" t="s">
        <v>366</v>
      </c>
      <c r="C30" s="228">
        <v>2000000</v>
      </c>
      <c r="D30" s="319"/>
      <c r="E30" s="231"/>
      <c r="F30" s="231"/>
      <c r="G30" s="231"/>
      <c r="H30" s="231"/>
      <c r="I30" s="231"/>
      <c r="J30" s="221"/>
    </row>
    <row r="31" spans="1:10">
      <c r="A31" s="226" t="s">
        <v>77</v>
      </c>
      <c r="B31" s="227" t="s">
        <v>61</v>
      </c>
      <c r="C31" s="228">
        <v>188000</v>
      </c>
      <c r="D31" s="319"/>
      <c r="E31" s="231"/>
      <c r="F31" s="231"/>
      <c r="G31" s="231"/>
      <c r="H31" s="231"/>
      <c r="I31" s="231"/>
      <c r="J31" s="221"/>
    </row>
    <row r="32" spans="1:10">
      <c r="A32" s="221" t="s">
        <v>60</v>
      </c>
      <c r="B32" s="223" t="s">
        <v>76</v>
      </c>
      <c r="C32" s="224">
        <f>+C33+C37</f>
        <v>1406817400</v>
      </c>
      <c r="D32" s="319"/>
      <c r="E32" s="222"/>
      <c r="F32" s="222"/>
      <c r="G32" s="222"/>
      <c r="H32" s="222"/>
      <c r="I32" s="222"/>
      <c r="J32" s="225"/>
    </row>
    <row r="33" spans="1:10" ht="31.5">
      <c r="A33" s="221" t="s">
        <v>78</v>
      </c>
      <c r="B33" s="223" t="s">
        <v>58</v>
      </c>
      <c r="C33" s="224">
        <f>SUM(C34:C36)</f>
        <v>57665400</v>
      </c>
      <c r="D33" s="319"/>
      <c r="E33" s="222"/>
      <c r="F33" s="222"/>
      <c r="G33" s="222"/>
      <c r="H33" s="222"/>
      <c r="I33" s="222"/>
      <c r="J33" s="225"/>
    </row>
    <row r="34" spans="1:10">
      <c r="A34" s="226" t="s">
        <v>77</v>
      </c>
      <c r="B34" s="227" t="s">
        <v>158</v>
      </c>
      <c r="C34" s="228">
        <v>17728000</v>
      </c>
      <c r="D34" s="319"/>
      <c r="E34" s="231"/>
      <c r="F34" s="231"/>
      <c r="G34" s="231"/>
      <c r="H34" s="231"/>
      <c r="I34" s="231"/>
      <c r="J34" s="328"/>
    </row>
    <row r="35" spans="1:10">
      <c r="A35" s="237" t="s">
        <v>77</v>
      </c>
      <c r="B35" s="238" t="s">
        <v>383</v>
      </c>
      <c r="C35" s="264">
        <f>43044000*0.6</f>
        <v>25826400</v>
      </c>
      <c r="D35" s="319"/>
      <c r="E35" s="240"/>
      <c r="F35" s="265"/>
      <c r="G35" s="241"/>
      <c r="H35" s="240"/>
      <c r="I35" s="241"/>
      <c r="J35" s="328"/>
    </row>
    <row r="36" spans="1:10">
      <c r="A36" s="237" t="s">
        <v>77</v>
      </c>
      <c r="B36" s="238" t="s">
        <v>63</v>
      </c>
      <c r="C36" s="239">
        <v>14111000</v>
      </c>
      <c r="D36" s="319"/>
      <c r="E36" s="262"/>
      <c r="F36" s="262"/>
      <c r="G36" s="262"/>
      <c r="H36" s="262"/>
      <c r="I36" s="262"/>
      <c r="J36" s="328"/>
    </row>
    <row r="37" spans="1:10">
      <c r="A37" s="221" t="s">
        <v>81</v>
      </c>
      <c r="B37" s="223" t="s">
        <v>59</v>
      </c>
      <c r="C37" s="224">
        <f>ROUND(SUM(C38:C43),-3)</f>
        <v>1349152000</v>
      </c>
      <c r="D37" s="319"/>
      <c r="E37" s="222"/>
      <c r="F37" s="222"/>
      <c r="G37" s="222"/>
      <c r="H37" s="222"/>
      <c r="I37" s="222"/>
      <c r="J37" s="225"/>
    </row>
    <row r="38" spans="1:10" ht="31.5">
      <c r="A38" s="226" t="s">
        <v>77</v>
      </c>
      <c r="B38" s="227" t="s">
        <v>371</v>
      </c>
      <c r="C38" s="228">
        <v>6844000</v>
      </c>
      <c r="D38" s="319"/>
      <c r="E38" s="229" t="s">
        <v>13</v>
      </c>
      <c r="F38" s="230"/>
      <c r="G38" s="230" t="s">
        <v>396</v>
      </c>
      <c r="H38" s="229" t="s">
        <v>16</v>
      </c>
      <c r="I38" s="230" t="s">
        <v>45</v>
      </c>
      <c r="J38" s="245"/>
    </row>
    <row r="39" spans="1:10" ht="31.5">
      <c r="A39" s="226" t="s">
        <v>77</v>
      </c>
      <c r="B39" s="227" t="s">
        <v>369</v>
      </c>
      <c r="C39" s="228">
        <v>2000000</v>
      </c>
      <c r="D39" s="319"/>
      <c r="E39" s="229" t="s">
        <v>13</v>
      </c>
      <c r="F39" s="230"/>
      <c r="G39" s="230" t="s">
        <v>396</v>
      </c>
      <c r="H39" s="229" t="s">
        <v>16</v>
      </c>
      <c r="I39" s="230" t="s">
        <v>17</v>
      </c>
      <c r="J39" s="245"/>
    </row>
    <row r="40" spans="1:10" ht="30">
      <c r="A40" s="226" t="s">
        <v>77</v>
      </c>
      <c r="B40" s="227" t="s">
        <v>387</v>
      </c>
      <c r="C40" s="264">
        <f>43044000*0.4</f>
        <v>17217600</v>
      </c>
      <c r="D40" s="319"/>
      <c r="E40" s="229" t="s">
        <v>13</v>
      </c>
      <c r="F40" s="222"/>
      <c r="G40" s="230" t="s">
        <v>396</v>
      </c>
      <c r="H40" s="229" t="s">
        <v>16</v>
      </c>
      <c r="I40" s="230" t="s">
        <v>46</v>
      </c>
      <c r="J40" s="225"/>
    </row>
    <row r="41" spans="1:10" ht="45">
      <c r="A41" s="226" t="s">
        <v>77</v>
      </c>
      <c r="B41" s="227" t="s">
        <v>401</v>
      </c>
      <c r="C41" s="228">
        <f>1089233000+157326000+33248000</f>
        <v>1279807000</v>
      </c>
      <c r="D41" s="319"/>
      <c r="E41" s="229" t="s">
        <v>389</v>
      </c>
      <c r="F41" s="230" t="s">
        <v>14</v>
      </c>
      <c r="G41" s="230" t="s">
        <v>396</v>
      </c>
      <c r="H41" s="229" t="s">
        <v>16</v>
      </c>
      <c r="I41" s="230" t="s">
        <v>47</v>
      </c>
      <c r="J41" s="245"/>
    </row>
    <row r="42" spans="1:10" ht="31.5">
      <c r="A42" s="226" t="s">
        <v>77</v>
      </c>
      <c r="B42" s="227" t="s">
        <v>372</v>
      </c>
      <c r="C42" s="228">
        <v>40015000</v>
      </c>
      <c r="D42" s="319"/>
      <c r="E42" s="229" t="s">
        <v>13</v>
      </c>
      <c r="F42" s="229"/>
      <c r="G42" s="230" t="s">
        <v>396</v>
      </c>
      <c r="H42" s="229" t="s">
        <v>16</v>
      </c>
      <c r="I42" s="230" t="s">
        <v>48</v>
      </c>
      <c r="J42" s="236"/>
    </row>
    <row r="43" spans="1:10" ht="30">
      <c r="A43" s="226" t="s">
        <v>77</v>
      </c>
      <c r="B43" s="227" t="s">
        <v>51</v>
      </c>
      <c r="C43" s="228">
        <v>3268000</v>
      </c>
      <c r="D43" s="327"/>
      <c r="E43" s="229" t="s">
        <v>13</v>
      </c>
      <c r="F43" s="229"/>
      <c r="G43" s="230" t="s">
        <v>396</v>
      </c>
      <c r="H43" s="229" t="s">
        <v>16</v>
      </c>
      <c r="I43" s="230" t="s">
        <v>46</v>
      </c>
      <c r="J43" s="225"/>
    </row>
    <row r="44" spans="1:10">
      <c r="A44" s="221"/>
      <c r="B44" s="223" t="s">
        <v>64</v>
      </c>
      <c r="C44" s="224">
        <f>ROUND((C27+C32),-3)</f>
        <v>1500000000</v>
      </c>
      <c r="D44" s="222"/>
      <c r="E44" s="222"/>
      <c r="F44" s="222"/>
      <c r="G44" s="222"/>
      <c r="H44" s="222"/>
      <c r="I44" s="222"/>
      <c r="J44" s="225"/>
    </row>
  </sheetData>
  <mergeCells count="10">
    <mergeCell ref="A1:I1"/>
    <mergeCell ref="A2:I2"/>
    <mergeCell ref="H3:I3"/>
    <mergeCell ref="D6:D21"/>
    <mergeCell ref="D28:D43"/>
    <mergeCell ref="J34:J36"/>
    <mergeCell ref="J12:J14"/>
    <mergeCell ref="A23:I23"/>
    <mergeCell ref="A24:I24"/>
    <mergeCell ref="H25:I25"/>
  </mergeCells>
  <phoneticPr fontId="4" type="noConversion"/>
  <pageMargins left="0.21" right="0.17" top="0.47" bottom="0.42"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4"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zoomScale="85" zoomScaleNormal="85" workbookViewId="0">
      <selection activeCell="I7" sqref="I7"/>
    </sheetView>
  </sheetViews>
  <sheetFormatPr defaultColWidth="9" defaultRowHeight="16.5"/>
  <cols>
    <col min="1" max="1" width="4.21875" style="277" customWidth="1"/>
    <col min="2" max="2" width="39.77734375" style="277" customWidth="1"/>
    <col min="3" max="3" width="14.109375" style="277" customWidth="1"/>
    <col min="4" max="4" width="14.44140625" style="277" customWidth="1"/>
    <col min="5" max="5" width="14" style="277" bestFit="1" customWidth="1"/>
    <col min="6" max="6" width="9.88671875" style="277" customWidth="1"/>
    <col min="7" max="7" width="15.109375" style="277" customWidth="1"/>
    <col min="8" max="8" width="9.88671875" style="277" customWidth="1"/>
    <col min="9" max="9" width="10.44140625" style="277" customWidth="1"/>
    <col min="10" max="10" width="18" style="277" customWidth="1"/>
    <col min="11" max="16384" width="9" style="277"/>
  </cols>
  <sheetData>
    <row r="1" spans="1:10" ht="18.75" customHeight="1">
      <c r="A1" s="375" t="s">
        <v>27</v>
      </c>
      <c r="B1" s="375"/>
      <c r="C1" s="375"/>
      <c r="D1" s="375"/>
      <c r="E1" s="375"/>
      <c r="F1" s="375"/>
      <c r="G1" s="375"/>
      <c r="H1" s="375"/>
      <c r="I1" s="375"/>
      <c r="J1" s="375"/>
    </row>
    <row r="2" spans="1:10" ht="36" customHeight="1">
      <c r="A2" s="378" t="s">
        <v>432</v>
      </c>
      <c r="B2" s="378"/>
      <c r="C2" s="378"/>
      <c r="D2" s="378"/>
      <c r="E2" s="378"/>
      <c r="F2" s="378"/>
      <c r="G2" s="378"/>
      <c r="H2" s="378"/>
      <c r="I2" s="378"/>
      <c r="J2" s="378"/>
    </row>
    <row r="3" spans="1:10" ht="19.5" customHeight="1">
      <c r="A3" s="317" t="s">
        <v>434</v>
      </c>
      <c r="B3" s="317"/>
      <c r="C3" s="317"/>
      <c r="D3" s="317"/>
      <c r="E3" s="317"/>
      <c r="F3" s="317"/>
      <c r="G3" s="317"/>
      <c r="H3" s="317"/>
      <c r="I3" s="317"/>
      <c r="J3" s="317"/>
    </row>
    <row r="4" spans="1:10" ht="12.75" customHeight="1">
      <c r="A4" s="278"/>
      <c r="B4" s="278"/>
      <c r="C4" s="278"/>
      <c r="D4" s="278"/>
      <c r="E4" s="278"/>
      <c r="F4" s="278"/>
      <c r="G4" s="278"/>
      <c r="H4" s="379"/>
      <c r="I4" s="379"/>
      <c r="J4" s="278"/>
    </row>
    <row r="5" spans="1:10" ht="67.5" customHeight="1">
      <c r="A5" s="279" t="s">
        <v>21</v>
      </c>
      <c r="B5" s="285" t="s">
        <v>424</v>
      </c>
      <c r="C5" s="279" t="s">
        <v>433</v>
      </c>
      <c r="D5" s="279" t="s">
        <v>1</v>
      </c>
      <c r="E5" s="279" t="s">
        <v>2</v>
      </c>
      <c r="F5" s="279" t="s">
        <v>3</v>
      </c>
      <c r="G5" s="279" t="s">
        <v>4</v>
      </c>
      <c r="H5" s="279" t="s">
        <v>5</v>
      </c>
      <c r="I5" s="279" t="s">
        <v>6</v>
      </c>
      <c r="J5" s="279" t="s">
        <v>65</v>
      </c>
    </row>
    <row r="6" spans="1:10" ht="15.75" customHeight="1">
      <c r="A6" s="289" t="s">
        <v>57</v>
      </c>
      <c r="B6" s="286" t="s">
        <v>75</v>
      </c>
      <c r="C6" s="308" t="s">
        <v>426</v>
      </c>
      <c r="D6" s="309"/>
      <c r="E6" s="305"/>
      <c r="F6" s="289"/>
      <c r="G6" s="289"/>
      <c r="H6" s="306"/>
      <c r="I6" s="306"/>
      <c r="J6" s="306"/>
    </row>
    <row r="7" spans="1:10" ht="50.1" customHeight="1">
      <c r="A7" s="290" t="s">
        <v>60</v>
      </c>
      <c r="B7" s="288" t="s">
        <v>422</v>
      </c>
      <c r="C7" s="308" t="s">
        <v>426</v>
      </c>
      <c r="D7" s="297"/>
      <c r="E7" s="297"/>
      <c r="F7" s="296"/>
      <c r="G7" s="296"/>
      <c r="H7" s="299"/>
      <c r="I7" s="296"/>
      <c r="J7" s="307"/>
    </row>
    <row r="8" spans="1:10" ht="33">
      <c r="A8" s="300" t="s">
        <v>170</v>
      </c>
      <c r="B8" s="286" t="s">
        <v>423</v>
      </c>
      <c r="C8" s="302">
        <v>0</v>
      </c>
      <c r="D8" s="297"/>
      <c r="E8" s="297"/>
      <c r="F8" s="292"/>
      <c r="G8" s="287"/>
      <c r="H8" s="291"/>
      <c r="I8" s="284"/>
      <c r="J8" s="295"/>
    </row>
    <row r="9" spans="1:10">
      <c r="A9" s="301" t="s">
        <v>172</v>
      </c>
      <c r="B9" s="288" t="s">
        <v>59</v>
      </c>
      <c r="C9" s="303">
        <f>SUM(C10:C11)</f>
        <v>154646000</v>
      </c>
      <c r="D9" s="380" t="s">
        <v>427</v>
      </c>
      <c r="E9" s="297"/>
      <c r="F9" s="297"/>
      <c r="G9" s="298"/>
      <c r="H9" s="297"/>
      <c r="I9" s="297"/>
      <c r="J9" s="294"/>
    </row>
    <row r="10" spans="1:10" ht="123" customHeight="1">
      <c r="A10" s="291">
        <v>1</v>
      </c>
      <c r="B10" s="292" t="s">
        <v>429</v>
      </c>
      <c r="C10" s="312">
        <v>120897000</v>
      </c>
      <c r="D10" s="380"/>
      <c r="E10" s="291" t="s">
        <v>13</v>
      </c>
      <c r="F10" s="293"/>
      <c r="G10" s="293" t="s">
        <v>431</v>
      </c>
      <c r="H10" s="291" t="s">
        <v>16</v>
      </c>
      <c r="I10" s="310" t="s">
        <v>66</v>
      </c>
      <c r="J10" s="311" t="s">
        <v>428</v>
      </c>
    </row>
    <row r="11" spans="1:10" ht="123" customHeight="1">
      <c r="A11" s="314">
        <v>2</v>
      </c>
      <c r="B11" s="292" t="s">
        <v>430</v>
      </c>
      <c r="C11" s="304">
        <v>33749000</v>
      </c>
      <c r="D11" s="380"/>
      <c r="E11" s="291" t="s">
        <v>13</v>
      </c>
      <c r="F11" s="293"/>
      <c r="G11" s="293" t="s">
        <v>431</v>
      </c>
      <c r="H11" s="291" t="s">
        <v>16</v>
      </c>
      <c r="I11" s="310" t="s">
        <v>66</v>
      </c>
      <c r="J11" s="313" t="s">
        <v>428</v>
      </c>
    </row>
    <row r="12" spans="1:10" ht="19.5" customHeight="1">
      <c r="A12" s="376" t="s">
        <v>425</v>
      </c>
      <c r="B12" s="377"/>
      <c r="C12" s="280">
        <f>ROUND((C6+C7+C9),-3)</f>
        <v>154646000</v>
      </c>
      <c r="D12" s="381"/>
      <c r="E12" s="279"/>
      <c r="F12" s="279"/>
      <c r="G12" s="279"/>
      <c r="H12" s="279"/>
      <c r="I12" s="279"/>
      <c r="J12" s="281"/>
    </row>
    <row r="14" spans="1:10">
      <c r="C14" s="282"/>
    </row>
    <row r="16" spans="1:10">
      <c r="C16" s="283"/>
    </row>
    <row r="18" spans="3:3">
      <c r="C18" s="282"/>
    </row>
  </sheetData>
  <mergeCells count="6">
    <mergeCell ref="A1:J1"/>
    <mergeCell ref="A12:B12"/>
    <mergeCell ref="A2:J2"/>
    <mergeCell ref="H4:I4"/>
    <mergeCell ref="A3:J3"/>
    <mergeCell ref="D9:D12"/>
  </mergeCells>
  <pageMargins left="0" right="0" top="0.75" bottom="0.2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2" workbookViewId="0">
      <selection activeCell="A22"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392</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81457000</v>
      </c>
      <c r="D5" s="221"/>
      <c r="E5" s="222"/>
      <c r="F5" s="222"/>
      <c r="G5" s="222"/>
      <c r="H5" s="222"/>
      <c r="I5" s="222"/>
      <c r="J5" s="225"/>
    </row>
    <row r="6" spans="1:10" ht="31.5">
      <c r="A6" s="226" t="s">
        <v>77</v>
      </c>
      <c r="B6" s="227" t="s">
        <v>379</v>
      </c>
      <c r="C6" s="228">
        <f>13164000+63280000</f>
        <v>76444000</v>
      </c>
      <c r="D6" s="326" t="s">
        <v>373</v>
      </c>
      <c r="E6" s="229" t="s">
        <v>13</v>
      </c>
      <c r="F6" s="222"/>
      <c r="G6" s="230"/>
      <c r="H6" s="229" t="s">
        <v>16</v>
      </c>
      <c r="I6" s="230" t="s">
        <v>66</v>
      </c>
      <c r="J6" s="225"/>
    </row>
    <row r="7" spans="1:10">
      <c r="A7" s="226" t="s">
        <v>77</v>
      </c>
      <c r="B7" s="227" t="s">
        <v>80</v>
      </c>
      <c r="C7" s="228">
        <v>4787000</v>
      </c>
      <c r="D7" s="319"/>
      <c r="E7" s="229" t="s">
        <v>13</v>
      </c>
      <c r="F7" s="231"/>
      <c r="G7" s="231"/>
      <c r="H7" s="229" t="s">
        <v>16</v>
      </c>
      <c r="I7" s="230" t="s">
        <v>45</v>
      </c>
      <c r="J7" s="221"/>
    </row>
    <row r="8" spans="1:10">
      <c r="A8" s="226" t="s">
        <v>77</v>
      </c>
      <c r="B8" s="227" t="s">
        <v>61</v>
      </c>
      <c r="C8" s="228">
        <v>226000</v>
      </c>
      <c r="D8" s="319"/>
      <c r="E8" s="231"/>
      <c r="F8" s="231"/>
      <c r="G8" s="231"/>
      <c r="H8" s="231"/>
      <c r="I8" s="231"/>
      <c r="J8" s="221"/>
    </row>
    <row r="9" spans="1:10">
      <c r="A9" s="221" t="s">
        <v>60</v>
      </c>
      <c r="B9" s="223" t="s">
        <v>76</v>
      </c>
      <c r="C9" s="224">
        <f>+C10+C14</f>
        <v>1318543200</v>
      </c>
      <c r="D9" s="319"/>
      <c r="E9" s="222"/>
      <c r="F9" s="222"/>
      <c r="G9" s="222"/>
      <c r="H9" s="222"/>
      <c r="I9" s="222"/>
      <c r="J9" s="225"/>
    </row>
    <row r="10" spans="1:10" ht="31.5">
      <c r="A10" s="221" t="s">
        <v>78</v>
      </c>
      <c r="B10" s="223" t="s">
        <v>58</v>
      </c>
      <c r="C10" s="224">
        <f>SUM(C11:C13)</f>
        <v>70475200</v>
      </c>
      <c r="D10" s="319"/>
      <c r="E10" s="222"/>
      <c r="F10" s="222"/>
      <c r="G10" s="222"/>
      <c r="H10" s="222"/>
      <c r="I10" s="222"/>
      <c r="J10" s="225"/>
    </row>
    <row r="11" spans="1:10">
      <c r="A11" s="226" t="s">
        <v>77</v>
      </c>
      <c r="B11" s="227" t="s">
        <v>158</v>
      </c>
      <c r="C11" s="228">
        <v>36261000</v>
      </c>
      <c r="D11" s="319"/>
      <c r="E11" s="231"/>
      <c r="F11" s="231"/>
      <c r="G11" s="231"/>
      <c r="H11" s="231"/>
      <c r="I11" s="231"/>
      <c r="J11" s="328"/>
    </row>
    <row r="12" spans="1:10" s="244" customFormat="1">
      <c r="A12" s="237" t="s">
        <v>77</v>
      </c>
      <c r="B12" s="238" t="s">
        <v>383</v>
      </c>
      <c r="C12" s="264">
        <f>34857000*0.6</f>
        <v>20914200</v>
      </c>
      <c r="D12" s="319"/>
      <c r="E12" s="240"/>
      <c r="F12" s="265"/>
      <c r="G12" s="241"/>
      <c r="H12" s="240"/>
      <c r="I12" s="241"/>
      <c r="J12" s="328"/>
    </row>
    <row r="13" spans="1:10" s="244" customFormat="1">
      <c r="A13" s="237" t="s">
        <v>77</v>
      </c>
      <c r="B13" s="238" t="s">
        <v>63</v>
      </c>
      <c r="C13" s="239">
        <f>13300000</f>
        <v>13300000</v>
      </c>
      <c r="D13" s="319"/>
      <c r="E13" s="262"/>
      <c r="F13" s="262"/>
      <c r="G13" s="262"/>
      <c r="H13" s="262"/>
      <c r="I13" s="262"/>
      <c r="J13" s="328"/>
    </row>
    <row r="14" spans="1:10">
      <c r="A14" s="221" t="s">
        <v>81</v>
      </c>
      <c r="B14" s="223" t="s">
        <v>59</v>
      </c>
      <c r="C14" s="224">
        <f>ROUND(SUM(C15:C20),-3)</f>
        <v>1248068000</v>
      </c>
      <c r="D14" s="319"/>
      <c r="E14" s="222"/>
      <c r="F14" s="222"/>
      <c r="G14" s="222"/>
      <c r="H14" s="222"/>
      <c r="I14" s="222"/>
      <c r="J14" s="225"/>
    </row>
    <row r="15" spans="1:10" ht="31.5">
      <c r="A15" s="226" t="s">
        <v>77</v>
      </c>
      <c r="B15" s="227" t="s">
        <v>371</v>
      </c>
      <c r="C15" s="228">
        <v>4108000</v>
      </c>
      <c r="D15" s="319"/>
      <c r="E15" s="229" t="s">
        <v>13</v>
      </c>
      <c r="F15" s="230"/>
      <c r="G15" s="230" t="s">
        <v>396</v>
      </c>
      <c r="H15" s="229" t="s">
        <v>16</v>
      </c>
      <c r="I15" s="230" t="s">
        <v>45</v>
      </c>
      <c r="J15" s="245"/>
    </row>
    <row r="16" spans="1:10" ht="31.5">
      <c r="A16" s="226" t="s">
        <v>77</v>
      </c>
      <c r="B16" s="227" t="s">
        <v>369</v>
      </c>
      <c r="C16" s="228">
        <v>1187000</v>
      </c>
      <c r="D16" s="319"/>
      <c r="E16" s="229" t="s">
        <v>13</v>
      </c>
      <c r="F16" s="230"/>
      <c r="G16" s="230" t="s">
        <v>396</v>
      </c>
      <c r="H16" s="229" t="s">
        <v>16</v>
      </c>
      <c r="I16" s="230" t="s">
        <v>17</v>
      </c>
      <c r="J16" s="245"/>
    </row>
    <row r="17" spans="1:10" ht="30">
      <c r="A17" s="226" t="s">
        <v>77</v>
      </c>
      <c r="B17" s="227" t="s">
        <v>387</v>
      </c>
      <c r="C17" s="264">
        <f>34857000*0.4</f>
        <v>13942800</v>
      </c>
      <c r="D17" s="319"/>
      <c r="E17" s="229" t="s">
        <v>13</v>
      </c>
      <c r="F17" s="222"/>
      <c r="G17" s="230" t="s">
        <v>396</v>
      </c>
      <c r="H17" s="229" t="s">
        <v>16</v>
      </c>
      <c r="I17" s="230" t="s">
        <v>46</v>
      </c>
      <c r="J17" s="225"/>
    </row>
    <row r="18" spans="1:10" ht="45">
      <c r="A18" s="226" t="s">
        <v>77</v>
      </c>
      <c r="B18" s="227" t="s">
        <v>370</v>
      </c>
      <c r="C18" s="228">
        <v>1187241000</v>
      </c>
      <c r="D18" s="319"/>
      <c r="E18" s="229" t="s">
        <v>389</v>
      </c>
      <c r="F18" s="230" t="s">
        <v>14</v>
      </c>
      <c r="G18" s="230" t="s">
        <v>396</v>
      </c>
      <c r="H18" s="229" t="s">
        <v>16</v>
      </c>
      <c r="I18" s="230" t="s">
        <v>47</v>
      </c>
      <c r="J18" s="245"/>
    </row>
    <row r="19" spans="1:10" ht="31.5">
      <c r="A19" s="226" t="s">
        <v>77</v>
      </c>
      <c r="B19" s="227" t="s">
        <v>372</v>
      </c>
      <c r="C19" s="228">
        <v>38027000</v>
      </c>
      <c r="D19" s="319"/>
      <c r="E19" s="229" t="s">
        <v>13</v>
      </c>
      <c r="F19" s="229"/>
      <c r="G19" s="230" t="s">
        <v>396</v>
      </c>
      <c r="H19" s="229" t="s">
        <v>16</v>
      </c>
      <c r="I19" s="230" t="s">
        <v>48</v>
      </c>
      <c r="J19" s="236"/>
    </row>
    <row r="20" spans="1:10" ht="30">
      <c r="A20" s="226" t="s">
        <v>77</v>
      </c>
      <c r="B20" s="227" t="s">
        <v>51</v>
      </c>
      <c r="C20" s="228">
        <v>3562000</v>
      </c>
      <c r="D20" s="327"/>
      <c r="E20" s="229" t="s">
        <v>13</v>
      </c>
      <c r="F20" s="229"/>
      <c r="G20" s="230" t="s">
        <v>396</v>
      </c>
      <c r="H20" s="229" t="s">
        <v>16</v>
      </c>
      <c r="I20" s="230" t="s">
        <v>46</v>
      </c>
      <c r="J20" s="225"/>
    </row>
    <row r="21" spans="1:10">
      <c r="A21" s="221"/>
      <c r="B21" s="223" t="s">
        <v>64</v>
      </c>
      <c r="C21" s="224">
        <f>ROUND((C5+C9),-3)</f>
        <v>1400000000</v>
      </c>
      <c r="D21" s="222"/>
      <c r="E21" s="222"/>
      <c r="F21" s="222"/>
      <c r="G21" s="222"/>
      <c r="H21" s="222"/>
      <c r="I21" s="222"/>
      <c r="J21" s="225"/>
    </row>
    <row r="22" spans="1:10" ht="21.75" customHeight="1">
      <c r="A22" s="316" t="s">
        <v>27</v>
      </c>
      <c r="B22" s="316"/>
      <c r="C22" s="316"/>
      <c r="D22" s="316"/>
      <c r="E22" s="316"/>
      <c r="F22" s="316"/>
      <c r="G22" s="316"/>
      <c r="H22" s="316"/>
      <c r="I22" s="316"/>
    </row>
    <row r="23" spans="1:10" ht="16.5">
      <c r="A23" s="317" t="s">
        <v>400</v>
      </c>
      <c r="B23" s="317"/>
      <c r="C23" s="317"/>
      <c r="D23" s="317"/>
      <c r="E23" s="317"/>
      <c r="F23" s="317"/>
      <c r="G23" s="317"/>
      <c r="H23" s="317"/>
      <c r="I23" s="317"/>
    </row>
    <row r="24" spans="1:10">
      <c r="H24" s="318"/>
      <c r="I24" s="318"/>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81457000</v>
      </c>
      <c r="D26" s="221"/>
      <c r="E26" s="222"/>
      <c r="F26" s="222"/>
      <c r="G26" s="222"/>
      <c r="H26" s="222"/>
      <c r="I26" s="222"/>
      <c r="J26" s="225"/>
    </row>
    <row r="27" spans="1:10" ht="31.5" customHeight="1">
      <c r="A27" s="226" t="s">
        <v>77</v>
      </c>
      <c r="B27" s="227" t="s">
        <v>379</v>
      </c>
      <c r="C27" s="228">
        <f>13164000+63280000</f>
        <v>76444000</v>
      </c>
      <c r="D27" s="326" t="s">
        <v>373</v>
      </c>
      <c r="E27" s="229" t="s">
        <v>13</v>
      </c>
      <c r="F27" s="222"/>
      <c r="G27" s="230"/>
      <c r="H27" s="229" t="s">
        <v>16</v>
      </c>
      <c r="I27" s="230" t="s">
        <v>66</v>
      </c>
      <c r="J27" s="225"/>
    </row>
    <row r="28" spans="1:10">
      <c r="A28" s="226" t="s">
        <v>77</v>
      </c>
      <c r="B28" s="227" t="s">
        <v>80</v>
      </c>
      <c r="C28" s="228">
        <v>4787000</v>
      </c>
      <c r="D28" s="319"/>
      <c r="E28" s="229" t="s">
        <v>13</v>
      </c>
      <c r="F28" s="231"/>
      <c r="G28" s="231"/>
      <c r="H28" s="229" t="s">
        <v>16</v>
      </c>
      <c r="I28" s="230" t="s">
        <v>45</v>
      </c>
      <c r="J28" s="221"/>
    </row>
    <row r="29" spans="1:10">
      <c r="A29" s="226" t="s">
        <v>77</v>
      </c>
      <c r="B29" s="227" t="s">
        <v>61</v>
      </c>
      <c r="C29" s="228">
        <v>226000</v>
      </c>
      <c r="D29" s="319"/>
      <c r="E29" s="231"/>
      <c r="F29" s="231"/>
      <c r="G29" s="231"/>
      <c r="H29" s="231"/>
      <c r="I29" s="231"/>
      <c r="J29" s="221"/>
    </row>
    <row r="30" spans="1:10">
      <c r="A30" s="221" t="s">
        <v>60</v>
      </c>
      <c r="B30" s="223" t="s">
        <v>76</v>
      </c>
      <c r="C30" s="224">
        <f>+C31+C35</f>
        <v>1318543200</v>
      </c>
      <c r="D30" s="319"/>
      <c r="E30" s="222"/>
      <c r="F30" s="222"/>
      <c r="G30" s="222"/>
      <c r="H30" s="222"/>
      <c r="I30" s="222"/>
      <c r="J30" s="225"/>
    </row>
    <row r="31" spans="1:10" ht="31.5">
      <c r="A31" s="221" t="s">
        <v>78</v>
      </c>
      <c r="B31" s="223" t="s">
        <v>58</v>
      </c>
      <c r="C31" s="224">
        <f>SUM(C32:C34)</f>
        <v>70475200</v>
      </c>
      <c r="D31" s="319"/>
      <c r="E31" s="222"/>
      <c r="F31" s="222"/>
      <c r="G31" s="222"/>
      <c r="H31" s="222"/>
      <c r="I31" s="222"/>
      <c r="J31" s="225"/>
    </row>
    <row r="32" spans="1:10">
      <c r="A32" s="226" t="s">
        <v>77</v>
      </c>
      <c r="B32" s="227" t="s">
        <v>158</v>
      </c>
      <c r="C32" s="228">
        <v>36261000</v>
      </c>
      <c r="D32" s="319"/>
      <c r="E32" s="231"/>
      <c r="F32" s="231"/>
      <c r="G32" s="231"/>
      <c r="H32" s="231"/>
      <c r="I32" s="231"/>
      <c r="J32" s="328"/>
    </row>
    <row r="33" spans="1:10">
      <c r="A33" s="237" t="s">
        <v>77</v>
      </c>
      <c r="B33" s="238" t="s">
        <v>383</v>
      </c>
      <c r="C33" s="264">
        <f>34857000*0.6</f>
        <v>20914200</v>
      </c>
      <c r="D33" s="319"/>
      <c r="E33" s="240"/>
      <c r="F33" s="265"/>
      <c r="G33" s="241"/>
      <c r="H33" s="240"/>
      <c r="I33" s="241"/>
      <c r="J33" s="328"/>
    </row>
    <row r="34" spans="1:10">
      <c r="A34" s="237" t="s">
        <v>77</v>
      </c>
      <c r="B34" s="238" t="s">
        <v>63</v>
      </c>
      <c r="C34" s="239">
        <f>13300000</f>
        <v>13300000</v>
      </c>
      <c r="D34" s="319"/>
      <c r="E34" s="262"/>
      <c r="F34" s="262"/>
      <c r="G34" s="262"/>
      <c r="H34" s="262"/>
      <c r="I34" s="262"/>
      <c r="J34" s="328"/>
    </row>
    <row r="35" spans="1:10">
      <c r="A35" s="221" t="s">
        <v>81</v>
      </c>
      <c r="B35" s="223" t="s">
        <v>59</v>
      </c>
      <c r="C35" s="224">
        <f>ROUND(SUM(C36:C41),-3)</f>
        <v>1248068000</v>
      </c>
      <c r="D35" s="319"/>
      <c r="E35" s="222"/>
      <c r="F35" s="222"/>
      <c r="G35" s="222"/>
      <c r="H35" s="222"/>
      <c r="I35" s="222"/>
      <c r="J35" s="225"/>
    </row>
    <row r="36" spans="1:10" ht="31.5">
      <c r="A36" s="226" t="s">
        <v>77</v>
      </c>
      <c r="B36" s="227" t="s">
        <v>371</v>
      </c>
      <c r="C36" s="228">
        <v>4108000</v>
      </c>
      <c r="D36" s="319"/>
      <c r="E36" s="229" t="s">
        <v>13</v>
      </c>
      <c r="F36" s="230"/>
      <c r="G36" s="230" t="s">
        <v>396</v>
      </c>
      <c r="H36" s="229" t="s">
        <v>16</v>
      </c>
      <c r="I36" s="230" t="s">
        <v>45</v>
      </c>
      <c r="J36" s="245"/>
    </row>
    <row r="37" spans="1:10" ht="31.5">
      <c r="A37" s="226" t="s">
        <v>77</v>
      </c>
      <c r="B37" s="227" t="s">
        <v>369</v>
      </c>
      <c r="C37" s="228">
        <v>1187000</v>
      </c>
      <c r="D37" s="319"/>
      <c r="E37" s="229" t="s">
        <v>13</v>
      </c>
      <c r="F37" s="230"/>
      <c r="G37" s="230" t="s">
        <v>396</v>
      </c>
      <c r="H37" s="229" t="s">
        <v>16</v>
      </c>
      <c r="I37" s="230" t="s">
        <v>17</v>
      </c>
      <c r="J37" s="245"/>
    </row>
    <row r="38" spans="1:10" ht="30">
      <c r="A38" s="226" t="s">
        <v>77</v>
      </c>
      <c r="B38" s="227" t="s">
        <v>387</v>
      </c>
      <c r="C38" s="264">
        <f>34857000*0.4</f>
        <v>13942800</v>
      </c>
      <c r="D38" s="319"/>
      <c r="E38" s="229" t="s">
        <v>13</v>
      </c>
      <c r="F38" s="222"/>
      <c r="G38" s="230" t="s">
        <v>396</v>
      </c>
      <c r="H38" s="229" t="s">
        <v>16</v>
      </c>
      <c r="I38" s="230" t="s">
        <v>46</v>
      </c>
      <c r="J38" s="225"/>
    </row>
    <row r="39" spans="1:10" ht="45">
      <c r="A39" s="226" t="s">
        <v>77</v>
      </c>
      <c r="B39" s="227" t="s">
        <v>370</v>
      </c>
      <c r="C39" s="228">
        <v>1187241000</v>
      </c>
      <c r="D39" s="319"/>
      <c r="E39" s="229" t="s">
        <v>389</v>
      </c>
      <c r="F39" s="230" t="s">
        <v>14</v>
      </c>
      <c r="G39" s="230" t="s">
        <v>396</v>
      </c>
      <c r="H39" s="229" t="s">
        <v>16</v>
      </c>
      <c r="I39" s="230" t="s">
        <v>47</v>
      </c>
      <c r="J39" s="245"/>
    </row>
    <row r="40" spans="1:10" ht="31.5">
      <c r="A40" s="226" t="s">
        <v>77</v>
      </c>
      <c r="B40" s="227" t="s">
        <v>372</v>
      </c>
      <c r="C40" s="228">
        <v>38027000</v>
      </c>
      <c r="D40" s="319"/>
      <c r="E40" s="229" t="s">
        <v>13</v>
      </c>
      <c r="F40" s="229"/>
      <c r="G40" s="230" t="s">
        <v>396</v>
      </c>
      <c r="H40" s="229" t="s">
        <v>16</v>
      </c>
      <c r="I40" s="230" t="s">
        <v>48</v>
      </c>
      <c r="J40" s="236"/>
    </row>
    <row r="41" spans="1:10" ht="30">
      <c r="A41" s="226" t="s">
        <v>77</v>
      </c>
      <c r="B41" s="227" t="s">
        <v>51</v>
      </c>
      <c r="C41" s="228">
        <v>3562000</v>
      </c>
      <c r="D41" s="327"/>
      <c r="E41" s="229" t="s">
        <v>13</v>
      </c>
      <c r="F41" s="229"/>
      <c r="G41" s="230" t="s">
        <v>396</v>
      </c>
      <c r="H41" s="229" t="s">
        <v>16</v>
      </c>
      <c r="I41" s="230" t="s">
        <v>46</v>
      </c>
      <c r="J41" s="225"/>
    </row>
    <row r="42" spans="1:10">
      <c r="A42" s="221"/>
      <c r="B42" s="223" t="s">
        <v>64</v>
      </c>
      <c r="C42" s="224">
        <f>ROUND((C26+C30),-3)</f>
        <v>1400000000</v>
      </c>
      <c r="D42" s="222"/>
      <c r="E42" s="222"/>
      <c r="F42" s="222"/>
      <c r="G42" s="222"/>
      <c r="H42" s="222"/>
      <c r="I42" s="222"/>
      <c r="J42" s="225"/>
    </row>
  </sheetData>
  <mergeCells count="10">
    <mergeCell ref="A1:I1"/>
    <mergeCell ref="A2:I2"/>
    <mergeCell ref="H3:I3"/>
    <mergeCell ref="D6:D20"/>
    <mergeCell ref="D27:D41"/>
    <mergeCell ref="J32:J34"/>
    <mergeCell ref="J11:J13"/>
    <mergeCell ref="A22:I22"/>
    <mergeCell ref="A23:I23"/>
    <mergeCell ref="H24:I24"/>
  </mergeCells>
  <phoneticPr fontId="4" type="noConversion"/>
  <pageMargins left="0.34" right="0.17" top="0.57999999999999996" bottom="0.52"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6" workbookViewId="0">
      <selection activeCell="F24" sqref="F24"/>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33203125" style="220" customWidth="1"/>
    <col min="6" max="6" width="11.8867187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392</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102611000</v>
      </c>
      <c r="D5" s="221"/>
      <c r="E5" s="222"/>
      <c r="F5" s="222"/>
      <c r="G5" s="222"/>
      <c r="H5" s="222"/>
      <c r="I5" s="222"/>
      <c r="J5" s="225"/>
    </row>
    <row r="6" spans="1:10" ht="31.5" customHeight="1">
      <c r="A6" s="226" t="s">
        <v>77</v>
      </c>
      <c r="B6" s="227" t="s">
        <v>379</v>
      </c>
      <c r="C6" s="228">
        <f>27031000+68229000</f>
        <v>95260000</v>
      </c>
      <c r="D6" s="326" t="s">
        <v>397</v>
      </c>
      <c r="E6" s="229" t="s">
        <v>13</v>
      </c>
      <c r="F6" s="222"/>
      <c r="G6" s="230"/>
      <c r="H6" s="229" t="s">
        <v>16</v>
      </c>
      <c r="I6" s="230" t="s">
        <v>66</v>
      </c>
      <c r="J6" s="225"/>
    </row>
    <row r="7" spans="1:10">
      <c r="A7" s="226" t="s">
        <v>77</v>
      </c>
      <c r="B7" s="227" t="s">
        <v>80</v>
      </c>
      <c r="C7" s="228">
        <f>2080000+2014000</f>
        <v>4094000</v>
      </c>
      <c r="D7" s="319"/>
      <c r="E7" s="229" t="s">
        <v>13</v>
      </c>
      <c r="F7" s="231"/>
      <c r="G7" s="231"/>
      <c r="H7" s="229" t="s">
        <v>16</v>
      </c>
      <c r="I7" s="230" t="s">
        <v>45</v>
      </c>
      <c r="J7" s="221"/>
    </row>
    <row r="8" spans="1:10">
      <c r="A8" s="226" t="s">
        <v>77</v>
      </c>
      <c r="B8" s="227" t="s">
        <v>61</v>
      </c>
      <c r="C8" s="228">
        <v>257000</v>
      </c>
      <c r="D8" s="319"/>
      <c r="E8" s="231"/>
      <c r="F8" s="231"/>
      <c r="G8" s="231"/>
      <c r="H8" s="231"/>
      <c r="I8" s="231"/>
      <c r="J8" s="221"/>
    </row>
    <row r="9" spans="1:10">
      <c r="A9" s="226" t="s">
        <v>77</v>
      </c>
      <c r="B9" s="227" t="s">
        <v>395</v>
      </c>
      <c r="C9" s="228">
        <v>3000000</v>
      </c>
      <c r="D9" s="319"/>
      <c r="E9" s="231"/>
      <c r="F9" s="231"/>
      <c r="G9" s="231"/>
      <c r="H9" s="231"/>
      <c r="I9" s="231"/>
      <c r="J9" s="221"/>
    </row>
    <row r="10" spans="1:10">
      <c r="A10" s="221" t="s">
        <v>60</v>
      </c>
      <c r="B10" s="223" t="s">
        <v>76</v>
      </c>
      <c r="C10" s="224">
        <f>+C11+C15</f>
        <v>1037645800</v>
      </c>
      <c r="D10" s="319"/>
      <c r="E10" s="222"/>
      <c r="F10" s="222"/>
      <c r="G10" s="222"/>
      <c r="H10" s="222"/>
      <c r="I10" s="222"/>
      <c r="J10" s="225"/>
    </row>
    <row r="11" spans="1:10" ht="31.5">
      <c r="A11" s="221" t="s">
        <v>78</v>
      </c>
      <c r="B11" s="223" t="s">
        <v>58</v>
      </c>
      <c r="C11" s="224">
        <f>SUM(C12:C14)</f>
        <v>80040800</v>
      </c>
      <c r="D11" s="319"/>
      <c r="E11" s="222"/>
      <c r="F11" s="222"/>
      <c r="G11" s="222"/>
      <c r="H11" s="222"/>
      <c r="I11" s="222"/>
      <c r="J11" s="225"/>
    </row>
    <row r="12" spans="1:10" s="244" customFormat="1">
      <c r="A12" s="226" t="s">
        <v>77</v>
      </c>
      <c r="B12" s="227" t="s">
        <v>158</v>
      </c>
      <c r="C12" s="228">
        <f>54298000+3325000+2000000</f>
        <v>59623000</v>
      </c>
      <c r="D12" s="319"/>
      <c r="E12" s="231"/>
      <c r="F12" s="231"/>
      <c r="G12" s="231"/>
      <c r="H12" s="231"/>
      <c r="I12" s="231"/>
      <c r="J12" s="328"/>
    </row>
    <row r="13" spans="1:10" s="244" customFormat="1">
      <c r="A13" s="237" t="s">
        <v>77</v>
      </c>
      <c r="B13" s="238" t="s">
        <v>383</v>
      </c>
      <c r="C13" s="264">
        <f>25448000*0.6</f>
        <v>15268800</v>
      </c>
      <c r="D13" s="319"/>
      <c r="E13" s="240"/>
      <c r="F13" s="265"/>
      <c r="G13" s="241"/>
      <c r="H13" s="240"/>
      <c r="I13" s="241"/>
      <c r="J13" s="328"/>
    </row>
    <row r="14" spans="1:10">
      <c r="A14" s="237" t="s">
        <v>77</v>
      </c>
      <c r="B14" s="238" t="s">
        <v>63</v>
      </c>
      <c r="C14" s="239">
        <v>5149000</v>
      </c>
      <c r="D14" s="319"/>
      <c r="E14" s="262"/>
      <c r="F14" s="262"/>
      <c r="G14" s="262"/>
      <c r="H14" s="262"/>
      <c r="I14" s="262"/>
      <c r="J14" s="328"/>
    </row>
    <row r="15" spans="1:10">
      <c r="A15" s="221" t="s">
        <v>81</v>
      </c>
      <c r="B15" s="223" t="s">
        <v>59</v>
      </c>
      <c r="C15" s="224">
        <f>ROUND(SUM(C16:C19),-3)</f>
        <v>957605000</v>
      </c>
      <c r="D15" s="319"/>
      <c r="E15" s="222"/>
      <c r="F15" s="222"/>
      <c r="G15" s="222"/>
      <c r="H15" s="222"/>
      <c r="I15" s="222"/>
      <c r="J15" s="225"/>
    </row>
    <row r="16" spans="1:10" ht="30">
      <c r="A16" s="226" t="s">
        <v>77</v>
      </c>
      <c r="B16" s="227" t="s">
        <v>384</v>
      </c>
      <c r="C16" s="264">
        <f>25448000*0.4</f>
        <v>10179200</v>
      </c>
      <c r="D16" s="319"/>
      <c r="E16" s="229" t="s">
        <v>13</v>
      </c>
      <c r="F16" s="222"/>
      <c r="G16" s="230" t="s">
        <v>396</v>
      </c>
      <c r="H16" s="229" t="s">
        <v>16</v>
      </c>
      <c r="I16" s="230" t="s">
        <v>46</v>
      </c>
      <c r="J16" s="225"/>
    </row>
    <row r="17" spans="1:10" ht="30">
      <c r="A17" s="226" t="s">
        <v>77</v>
      </c>
      <c r="B17" s="227" t="s">
        <v>394</v>
      </c>
      <c r="C17" s="228">
        <f>868583000+52446000</f>
        <v>921029000</v>
      </c>
      <c r="D17" s="319"/>
      <c r="E17" s="229" t="s">
        <v>13</v>
      </c>
      <c r="F17" s="230"/>
      <c r="G17" s="230" t="s">
        <v>396</v>
      </c>
      <c r="H17" s="229" t="s">
        <v>16</v>
      </c>
      <c r="I17" s="230" t="s">
        <v>225</v>
      </c>
      <c r="J17" s="245"/>
    </row>
    <row r="18" spans="1:10" ht="31.5">
      <c r="A18" s="226" t="s">
        <v>77</v>
      </c>
      <c r="B18" s="227" t="s">
        <v>398</v>
      </c>
      <c r="C18" s="228">
        <v>23634000</v>
      </c>
      <c r="D18" s="319"/>
      <c r="E18" s="229" t="s">
        <v>13</v>
      </c>
      <c r="F18" s="229"/>
      <c r="G18" s="230" t="s">
        <v>396</v>
      </c>
      <c r="H18" s="229" t="s">
        <v>16</v>
      </c>
      <c r="I18" s="230" t="s">
        <v>319</v>
      </c>
      <c r="J18" s="236"/>
    </row>
    <row r="19" spans="1:10" ht="30">
      <c r="A19" s="226" t="s">
        <v>77</v>
      </c>
      <c r="B19" s="227" t="s">
        <v>318</v>
      </c>
      <c r="C19" s="228">
        <v>2763000</v>
      </c>
      <c r="D19" s="327"/>
      <c r="E19" s="229" t="s">
        <v>13</v>
      </c>
      <c r="F19" s="229"/>
      <c r="G19" s="230" t="s">
        <v>396</v>
      </c>
      <c r="H19" s="229" t="s">
        <v>16</v>
      </c>
      <c r="I19" s="230" t="s">
        <v>46</v>
      </c>
      <c r="J19" s="225"/>
    </row>
    <row r="20" spans="1:10" ht="21.75" customHeight="1">
      <c r="A20" s="221"/>
      <c r="B20" s="223" t="s">
        <v>64</v>
      </c>
      <c r="C20" s="224">
        <f>ROUND((C5+C10),-3)</f>
        <v>1140257000</v>
      </c>
      <c r="D20" s="222"/>
      <c r="E20" s="222"/>
      <c r="F20" s="222"/>
      <c r="G20" s="222"/>
      <c r="H20" s="222"/>
      <c r="I20" s="222"/>
      <c r="J20" s="225"/>
    </row>
    <row r="21" spans="1:10" ht="21.75" customHeight="1">
      <c r="A21" s="267"/>
      <c r="B21" s="268"/>
      <c r="C21" s="269"/>
      <c r="D21" s="270"/>
      <c r="E21" s="270"/>
      <c r="F21" s="270"/>
      <c r="G21" s="270"/>
      <c r="H21" s="270"/>
      <c r="I21" s="270"/>
      <c r="J21" s="271"/>
    </row>
    <row r="22" spans="1:10" ht="34.5" customHeight="1">
      <c r="A22" s="267"/>
      <c r="B22" s="268"/>
      <c r="C22" s="269"/>
      <c r="D22" s="270"/>
      <c r="E22" s="270"/>
      <c r="F22" s="270"/>
      <c r="G22" s="270"/>
      <c r="H22" s="270"/>
      <c r="I22" s="270"/>
      <c r="J22" s="271"/>
    </row>
    <row r="23" spans="1:10" ht="16.5">
      <c r="A23" s="317" t="s">
        <v>399</v>
      </c>
      <c r="B23" s="317"/>
      <c r="C23" s="317"/>
      <c r="D23" s="317"/>
      <c r="E23" s="317"/>
      <c r="F23" s="317"/>
      <c r="G23" s="317"/>
      <c r="H23" s="317"/>
      <c r="I23" s="317"/>
    </row>
    <row r="24" spans="1:10">
      <c r="H24" s="318"/>
      <c r="I24" s="318"/>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SUM(C27:C30)</f>
        <v>102611000</v>
      </c>
      <c r="D26" s="221"/>
      <c r="E26" s="222"/>
      <c r="F26" s="222"/>
      <c r="G26" s="222"/>
      <c r="H26" s="222"/>
      <c r="I26" s="222"/>
      <c r="J26" s="225"/>
    </row>
    <row r="27" spans="1:10" ht="31.5" customHeight="1">
      <c r="A27" s="226" t="s">
        <v>77</v>
      </c>
      <c r="B27" s="227" t="s">
        <v>379</v>
      </c>
      <c r="C27" s="228">
        <f>27031000+68229000</f>
        <v>95260000</v>
      </c>
      <c r="D27" s="326" t="s">
        <v>397</v>
      </c>
      <c r="E27" s="229" t="s">
        <v>13</v>
      </c>
      <c r="F27" s="222"/>
      <c r="G27" s="230"/>
      <c r="H27" s="229" t="s">
        <v>16</v>
      </c>
      <c r="I27" s="230" t="s">
        <v>66</v>
      </c>
      <c r="J27" s="225"/>
    </row>
    <row r="28" spans="1:10">
      <c r="A28" s="226" t="s">
        <v>77</v>
      </c>
      <c r="B28" s="227" t="s">
        <v>80</v>
      </c>
      <c r="C28" s="228">
        <f>2080000+2014000</f>
        <v>4094000</v>
      </c>
      <c r="D28" s="319"/>
      <c r="E28" s="229" t="s">
        <v>13</v>
      </c>
      <c r="F28" s="231"/>
      <c r="G28" s="231"/>
      <c r="H28" s="229" t="s">
        <v>16</v>
      </c>
      <c r="I28" s="230" t="s">
        <v>45</v>
      </c>
      <c r="J28" s="221"/>
    </row>
    <row r="29" spans="1:10">
      <c r="A29" s="226" t="s">
        <v>77</v>
      </c>
      <c r="B29" s="227" t="s">
        <v>61</v>
      </c>
      <c r="C29" s="228">
        <v>257000</v>
      </c>
      <c r="D29" s="319"/>
      <c r="E29" s="231"/>
      <c r="F29" s="231"/>
      <c r="G29" s="231"/>
      <c r="H29" s="231"/>
      <c r="I29" s="231"/>
      <c r="J29" s="221"/>
    </row>
    <row r="30" spans="1:10">
      <c r="A30" s="226" t="s">
        <v>77</v>
      </c>
      <c r="B30" s="227" t="s">
        <v>395</v>
      </c>
      <c r="C30" s="228">
        <v>3000000</v>
      </c>
      <c r="D30" s="319"/>
      <c r="E30" s="231"/>
      <c r="F30" s="231"/>
      <c r="G30" s="231"/>
      <c r="H30" s="231"/>
      <c r="I30" s="231"/>
      <c r="J30" s="221"/>
    </row>
    <row r="31" spans="1:10">
      <c r="A31" s="221" t="s">
        <v>60</v>
      </c>
      <c r="B31" s="223" t="s">
        <v>76</v>
      </c>
      <c r="C31" s="224">
        <f>+C32+C36</f>
        <v>1037645800</v>
      </c>
      <c r="D31" s="319"/>
      <c r="E31" s="222"/>
      <c r="F31" s="222"/>
      <c r="G31" s="222"/>
      <c r="H31" s="222"/>
      <c r="I31" s="222"/>
      <c r="J31" s="225"/>
    </row>
    <row r="32" spans="1:10" ht="31.5">
      <c r="A32" s="221" t="s">
        <v>78</v>
      </c>
      <c r="B32" s="223" t="s">
        <v>58</v>
      </c>
      <c r="C32" s="224">
        <f>SUM(C33:C35)</f>
        <v>80040800</v>
      </c>
      <c r="D32" s="319"/>
      <c r="E32" s="222"/>
      <c r="F32" s="222"/>
      <c r="G32" s="222"/>
      <c r="H32" s="222"/>
      <c r="I32" s="222"/>
      <c r="J32" s="225"/>
    </row>
    <row r="33" spans="1:10">
      <c r="A33" s="226" t="s">
        <v>77</v>
      </c>
      <c r="B33" s="227" t="s">
        <v>158</v>
      </c>
      <c r="C33" s="228">
        <f>54298000+3325000+2000000</f>
        <v>59623000</v>
      </c>
      <c r="D33" s="319"/>
      <c r="E33" s="231"/>
      <c r="F33" s="231"/>
      <c r="G33" s="231"/>
      <c r="H33" s="231"/>
      <c r="I33" s="231"/>
      <c r="J33" s="328"/>
    </row>
    <row r="34" spans="1:10">
      <c r="A34" s="237" t="s">
        <v>77</v>
      </c>
      <c r="B34" s="238" t="s">
        <v>383</v>
      </c>
      <c r="C34" s="264">
        <f>25448000*0.6</f>
        <v>15268800</v>
      </c>
      <c r="D34" s="319"/>
      <c r="E34" s="240"/>
      <c r="F34" s="265"/>
      <c r="G34" s="241"/>
      <c r="H34" s="240"/>
      <c r="I34" s="241"/>
      <c r="J34" s="328"/>
    </row>
    <row r="35" spans="1:10">
      <c r="A35" s="237" t="s">
        <v>77</v>
      </c>
      <c r="B35" s="238" t="s">
        <v>63</v>
      </c>
      <c r="C35" s="239">
        <v>5149000</v>
      </c>
      <c r="D35" s="319"/>
      <c r="E35" s="262"/>
      <c r="F35" s="262"/>
      <c r="G35" s="262"/>
      <c r="H35" s="262"/>
      <c r="I35" s="262"/>
      <c r="J35" s="328"/>
    </row>
    <row r="36" spans="1:10">
      <c r="A36" s="221" t="s">
        <v>81</v>
      </c>
      <c r="B36" s="223" t="s">
        <v>59</v>
      </c>
      <c r="C36" s="224">
        <f>ROUND(SUM(C37:C40),-3)</f>
        <v>957605000</v>
      </c>
      <c r="D36" s="319"/>
      <c r="E36" s="222"/>
      <c r="F36" s="222"/>
      <c r="G36" s="222"/>
      <c r="H36" s="222"/>
      <c r="I36" s="222"/>
      <c r="J36" s="225"/>
    </row>
    <row r="37" spans="1:10" ht="30">
      <c r="A37" s="226" t="s">
        <v>77</v>
      </c>
      <c r="B37" s="227" t="s">
        <v>384</v>
      </c>
      <c r="C37" s="264">
        <f>25448000*0.4</f>
        <v>10179200</v>
      </c>
      <c r="D37" s="319"/>
      <c r="E37" s="229" t="s">
        <v>13</v>
      </c>
      <c r="F37" s="222"/>
      <c r="G37" s="230" t="s">
        <v>396</v>
      </c>
      <c r="H37" s="229" t="s">
        <v>16</v>
      </c>
      <c r="I37" s="230" t="s">
        <v>46</v>
      </c>
      <c r="J37" s="225"/>
    </row>
    <row r="38" spans="1:10" ht="30">
      <c r="A38" s="226" t="s">
        <v>77</v>
      </c>
      <c r="B38" s="227" t="s">
        <v>394</v>
      </c>
      <c r="C38" s="228">
        <f>868583000+52446000</f>
        <v>921029000</v>
      </c>
      <c r="D38" s="319"/>
      <c r="E38" s="229" t="s">
        <v>13</v>
      </c>
      <c r="F38" s="230"/>
      <c r="G38" s="230" t="s">
        <v>396</v>
      </c>
      <c r="H38" s="229" t="s">
        <v>16</v>
      </c>
      <c r="I38" s="230" t="s">
        <v>225</v>
      </c>
      <c r="J38" s="245"/>
    </row>
    <row r="39" spans="1:10" ht="31.5">
      <c r="A39" s="226" t="s">
        <v>77</v>
      </c>
      <c r="B39" s="227" t="s">
        <v>398</v>
      </c>
      <c r="C39" s="228">
        <v>23634000</v>
      </c>
      <c r="D39" s="319"/>
      <c r="E39" s="229" t="s">
        <v>13</v>
      </c>
      <c r="F39" s="229"/>
      <c r="G39" s="230" t="s">
        <v>396</v>
      </c>
      <c r="H39" s="229" t="s">
        <v>16</v>
      </c>
      <c r="I39" s="230" t="s">
        <v>319</v>
      </c>
      <c r="J39" s="236"/>
    </row>
    <row r="40" spans="1:10" ht="30">
      <c r="A40" s="226" t="s">
        <v>77</v>
      </c>
      <c r="B40" s="227" t="s">
        <v>318</v>
      </c>
      <c r="C40" s="228">
        <v>2763000</v>
      </c>
      <c r="D40" s="327"/>
      <c r="E40" s="229" t="s">
        <v>13</v>
      </c>
      <c r="F40" s="229"/>
      <c r="G40" s="230" t="s">
        <v>396</v>
      </c>
      <c r="H40" s="229" t="s">
        <v>16</v>
      </c>
      <c r="I40" s="230" t="s">
        <v>46</v>
      </c>
      <c r="J40" s="225"/>
    </row>
    <row r="41" spans="1:10">
      <c r="A41" s="221"/>
      <c r="B41" s="223" t="s">
        <v>64</v>
      </c>
      <c r="C41" s="224">
        <f>ROUND((C26+C31),-3)</f>
        <v>1140257000</v>
      </c>
      <c r="D41" s="222"/>
      <c r="E41" s="222"/>
      <c r="F41" s="222"/>
      <c r="G41" s="222"/>
      <c r="H41" s="222"/>
      <c r="I41" s="222"/>
      <c r="J41" s="225"/>
    </row>
  </sheetData>
  <mergeCells count="9">
    <mergeCell ref="D27:D40"/>
    <mergeCell ref="J33:J35"/>
    <mergeCell ref="A23:I23"/>
    <mergeCell ref="H24:I24"/>
    <mergeCell ref="A1:I1"/>
    <mergeCell ref="A2:I2"/>
    <mergeCell ref="H3:I3"/>
    <mergeCell ref="D6:D19"/>
    <mergeCell ref="J12:J14"/>
  </mergeCells>
  <phoneticPr fontId="4" type="noConversion"/>
  <pageMargins left="0.25" right="0.24" top="0.53" bottom="0.47"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3" workbookViewId="0">
      <selection activeCell="A13"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7.6640625" style="220" customWidth="1"/>
    <col min="6" max="6" width="11.8867187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392</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232427000</v>
      </c>
      <c r="D5" s="221"/>
      <c r="E5" s="222"/>
      <c r="F5" s="222"/>
      <c r="G5" s="222"/>
      <c r="H5" s="222"/>
      <c r="I5" s="222"/>
      <c r="J5" s="225"/>
    </row>
    <row r="6" spans="1:10" ht="31.5">
      <c r="A6" s="226" t="s">
        <v>77</v>
      </c>
      <c r="B6" s="227" t="s">
        <v>379</v>
      </c>
      <c r="C6" s="228">
        <f>80409000+136439000</f>
        <v>216848000</v>
      </c>
      <c r="D6" s="326" t="s">
        <v>373</v>
      </c>
      <c r="E6" s="229" t="s">
        <v>13</v>
      </c>
      <c r="F6" s="222"/>
      <c r="G6" s="230"/>
      <c r="H6" s="229" t="s">
        <v>16</v>
      </c>
      <c r="I6" s="230" t="s">
        <v>66</v>
      </c>
      <c r="J6" s="225"/>
    </row>
    <row r="7" spans="1:10">
      <c r="A7" s="226" t="s">
        <v>77</v>
      </c>
      <c r="B7" s="227" t="s">
        <v>80</v>
      </c>
      <c r="C7" s="228">
        <v>14819000</v>
      </c>
      <c r="D7" s="319"/>
      <c r="E7" s="229" t="s">
        <v>13</v>
      </c>
      <c r="F7" s="231"/>
      <c r="G7" s="231"/>
      <c r="H7" s="229" t="s">
        <v>16</v>
      </c>
      <c r="I7" s="230" t="s">
        <v>45</v>
      </c>
      <c r="J7" s="221"/>
    </row>
    <row r="8" spans="1:10">
      <c r="A8" s="226" t="s">
        <v>77</v>
      </c>
      <c r="B8" s="227" t="s">
        <v>61</v>
      </c>
      <c r="C8" s="228">
        <v>760000</v>
      </c>
      <c r="D8" s="319"/>
      <c r="E8" s="231"/>
      <c r="F8" s="231"/>
      <c r="G8" s="231"/>
      <c r="H8" s="231"/>
      <c r="I8" s="231"/>
      <c r="J8" s="221"/>
    </row>
    <row r="9" spans="1:10">
      <c r="A9" s="221" t="s">
        <v>60</v>
      </c>
      <c r="B9" s="223" t="s">
        <v>76</v>
      </c>
      <c r="C9" s="224">
        <f>+C10+C14</f>
        <v>3767572600</v>
      </c>
      <c r="D9" s="319"/>
      <c r="E9" s="222"/>
      <c r="F9" s="222"/>
      <c r="G9" s="222"/>
      <c r="H9" s="222"/>
      <c r="I9" s="222"/>
      <c r="J9" s="225"/>
    </row>
    <row r="10" spans="1:10" ht="31.5">
      <c r="A10" s="221" t="s">
        <v>78</v>
      </c>
      <c r="B10" s="223" t="s">
        <v>58</v>
      </c>
      <c r="C10" s="224">
        <f>SUM(C11:C13)</f>
        <v>167038600</v>
      </c>
      <c r="D10" s="319"/>
      <c r="E10" s="222"/>
      <c r="F10" s="222"/>
      <c r="G10" s="222"/>
      <c r="H10" s="222"/>
      <c r="I10" s="222"/>
      <c r="J10" s="225"/>
    </row>
    <row r="11" spans="1:10">
      <c r="A11" s="226" t="s">
        <v>77</v>
      </c>
      <c r="B11" s="227" t="s">
        <v>158</v>
      </c>
      <c r="C11" s="228">
        <v>99821000</v>
      </c>
      <c r="D11" s="319"/>
      <c r="E11" s="231"/>
      <c r="F11" s="231"/>
      <c r="G11" s="231"/>
      <c r="H11" s="231"/>
      <c r="I11" s="231"/>
      <c r="J11" s="328"/>
    </row>
    <row r="12" spans="1:10" s="244" customFormat="1">
      <c r="A12" s="237" t="s">
        <v>77</v>
      </c>
      <c r="B12" s="238" t="s">
        <v>383</v>
      </c>
      <c r="C12" s="264">
        <f>86696000*0.6</f>
        <v>52017600</v>
      </c>
      <c r="D12" s="319"/>
      <c r="E12" s="240"/>
      <c r="F12" s="265"/>
      <c r="G12" s="241"/>
      <c r="H12" s="240"/>
      <c r="I12" s="241"/>
      <c r="J12" s="328"/>
    </row>
    <row r="13" spans="1:10" s="244" customFormat="1">
      <c r="A13" s="237" t="s">
        <v>77</v>
      </c>
      <c r="B13" s="238" t="s">
        <v>63</v>
      </c>
      <c r="C13" s="239">
        <v>15200000</v>
      </c>
      <c r="D13" s="319"/>
      <c r="E13" s="262"/>
      <c r="F13" s="262"/>
      <c r="G13" s="262"/>
      <c r="H13" s="262"/>
      <c r="I13" s="262"/>
      <c r="J13" s="328"/>
    </row>
    <row r="14" spans="1:10">
      <c r="A14" s="221" t="s">
        <v>81</v>
      </c>
      <c r="B14" s="223" t="s">
        <v>59</v>
      </c>
      <c r="C14" s="224">
        <f>ROUND(SUM(C15:C20),-3)</f>
        <v>3600534000</v>
      </c>
      <c r="D14" s="319"/>
      <c r="E14" s="222"/>
      <c r="F14" s="222"/>
      <c r="G14" s="222"/>
      <c r="H14" s="222"/>
      <c r="I14" s="222"/>
      <c r="J14" s="225"/>
    </row>
    <row r="15" spans="1:10" ht="31.5">
      <c r="A15" s="226" t="s">
        <v>77</v>
      </c>
      <c r="B15" s="227" t="s">
        <v>371</v>
      </c>
      <c r="C15" s="228">
        <f>5374000+6568000</f>
        <v>11942000</v>
      </c>
      <c r="D15" s="319"/>
      <c r="E15" s="229" t="s">
        <v>13</v>
      </c>
      <c r="F15" s="230"/>
      <c r="G15" s="230" t="s">
        <v>374</v>
      </c>
      <c r="H15" s="229" t="s">
        <v>16</v>
      </c>
      <c r="I15" s="230" t="s">
        <v>45</v>
      </c>
      <c r="J15" s="245"/>
    </row>
    <row r="16" spans="1:10" ht="31.5">
      <c r="A16" s="226" t="s">
        <v>77</v>
      </c>
      <c r="B16" s="227" t="s">
        <v>369</v>
      </c>
      <c r="C16" s="228">
        <f>1726000*2</f>
        <v>3452000</v>
      </c>
      <c r="D16" s="319"/>
      <c r="E16" s="229" t="s">
        <v>13</v>
      </c>
      <c r="F16" s="230"/>
      <c r="G16" s="230" t="s">
        <v>374</v>
      </c>
      <c r="H16" s="229" t="s">
        <v>16</v>
      </c>
      <c r="I16" s="230" t="s">
        <v>17</v>
      </c>
      <c r="J16" s="245"/>
    </row>
    <row r="17" spans="1:10" ht="30">
      <c r="A17" s="226" t="s">
        <v>77</v>
      </c>
      <c r="B17" s="227" t="s">
        <v>387</v>
      </c>
      <c r="C17" s="264">
        <f>86696000*0.4</f>
        <v>34678400</v>
      </c>
      <c r="D17" s="319"/>
      <c r="E17" s="229" t="s">
        <v>13</v>
      </c>
      <c r="F17" s="222"/>
      <c r="G17" s="230" t="s">
        <v>374</v>
      </c>
      <c r="H17" s="229" t="s">
        <v>16</v>
      </c>
      <c r="I17" s="230" t="s">
        <v>46</v>
      </c>
      <c r="J17" s="225"/>
    </row>
    <row r="18" spans="1:10" ht="30">
      <c r="A18" s="226" t="s">
        <v>77</v>
      </c>
      <c r="B18" s="227" t="s">
        <v>370</v>
      </c>
      <c r="C18" s="228">
        <v>3451540000</v>
      </c>
      <c r="D18" s="319"/>
      <c r="E18" s="229" t="s">
        <v>389</v>
      </c>
      <c r="F18" s="230" t="s">
        <v>14</v>
      </c>
      <c r="G18" s="230" t="s">
        <v>374</v>
      </c>
      <c r="H18" s="229" t="s">
        <v>16</v>
      </c>
      <c r="I18" s="230" t="s">
        <v>225</v>
      </c>
      <c r="J18" s="245"/>
    </row>
    <row r="19" spans="1:10" ht="31.5">
      <c r="A19" s="226" t="s">
        <v>77</v>
      </c>
      <c r="B19" s="227" t="s">
        <v>372</v>
      </c>
      <c r="C19" s="228">
        <v>88567000</v>
      </c>
      <c r="D19" s="319"/>
      <c r="E19" s="229" t="s">
        <v>13</v>
      </c>
      <c r="F19" s="229"/>
      <c r="G19" s="230" t="s">
        <v>374</v>
      </c>
      <c r="H19" s="229" t="s">
        <v>16</v>
      </c>
      <c r="I19" s="230" t="s">
        <v>48</v>
      </c>
      <c r="J19" s="236"/>
    </row>
    <row r="20" spans="1:10" ht="30">
      <c r="A20" s="226" t="s">
        <v>77</v>
      </c>
      <c r="B20" s="227" t="s">
        <v>51</v>
      </c>
      <c r="C20" s="228">
        <v>10355000</v>
      </c>
      <c r="D20" s="327"/>
      <c r="E20" s="229" t="s">
        <v>13</v>
      </c>
      <c r="F20" s="229"/>
      <c r="G20" s="230" t="s">
        <v>374</v>
      </c>
      <c r="H20" s="229" t="s">
        <v>16</v>
      </c>
      <c r="I20" s="230" t="s">
        <v>46</v>
      </c>
      <c r="J20" s="225"/>
    </row>
    <row r="21" spans="1:10">
      <c r="A21" s="221"/>
      <c r="B21" s="223" t="s">
        <v>64</v>
      </c>
      <c r="C21" s="224">
        <f>ROUND((C5+C9),-3)</f>
        <v>4000000000</v>
      </c>
      <c r="D21" s="222"/>
      <c r="E21" s="222"/>
      <c r="F21" s="222"/>
      <c r="G21" s="222"/>
      <c r="H21" s="222"/>
      <c r="I21" s="222"/>
      <c r="J21" s="225"/>
    </row>
    <row r="22" spans="1:10" ht="21.75" customHeight="1">
      <c r="A22" s="316" t="s">
        <v>27</v>
      </c>
      <c r="B22" s="316"/>
      <c r="C22" s="316"/>
      <c r="D22" s="316"/>
      <c r="E22" s="316"/>
      <c r="F22" s="316"/>
      <c r="G22" s="316"/>
      <c r="H22" s="316"/>
      <c r="I22" s="316"/>
    </row>
    <row r="23" spans="1:10" ht="16.5">
      <c r="A23" s="317" t="s">
        <v>393</v>
      </c>
      <c r="B23" s="317"/>
      <c r="C23" s="317"/>
      <c r="D23" s="317"/>
      <c r="E23" s="317"/>
      <c r="F23" s="317"/>
      <c r="G23" s="317"/>
      <c r="H23" s="317"/>
      <c r="I23" s="317"/>
    </row>
    <row r="24" spans="1:10">
      <c r="H24" s="318"/>
      <c r="I24" s="318"/>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232427000</v>
      </c>
      <c r="D26" s="221"/>
      <c r="E26" s="222"/>
      <c r="F26" s="222"/>
      <c r="G26" s="222"/>
      <c r="H26" s="222"/>
      <c r="I26" s="222"/>
      <c r="J26" s="225"/>
    </row>
    <row r="27" spans="1:10" ht="31.5" customHeight="1">
      <c r="A27" s="226" t="s">
        <v>77</v>
      </c>
      <c r="B27" s="227" t="s">
        <v>379</v>
      </c>
      <c r="C27" s="228">
        <f>80409000+136439000</f>
        <v>216848000</v>
      </c>
      <c r="D27" s="326" t="s">
        <v>373</v>
      </c>
      <c r="E27" s="229" t="s">
        <v>13</v>
      </c>
      <c r="F27" s="222"/>
      <c r="G27" s="230"/>
      <c r="H27" s="229" t="s">
        <v>16</v>
      </c>
      <c r="I27" s="230" t="s">
        <v>66</v>
      </c>
      <c r="J27" s="225"/>
    </row>
    <row r="28" spans="1:10">
      <c r="A28" s="226" t="s">
        <v>77</v>
      </c>
      <c r="B28" s="227" t="s">
        <v>80</v>
      </c>
      <c r="C28" s="228">
        <v>14819000</v>
      </c>
      <c r="D28" s="319"/>
      <c r="E28" s="229" t="s">
        <v>13</v>
      </c>
      <c r="F28" s="231"/>
      <c r="G28" s="231"/>
      <c r="H28" s="229" t="s">
        <v>16</v>
      </c>
      <c r="I28" s="230" t="s">
        <v>45</v>
      </c>
      <c r="J28" s="221"/>
    </row>
    <row r="29" spans="1:10">
      <c r="A29" s="226" t="s">
        <v>77</v>
      </c>
      <c r="B29" s="227" t="s">
        <v>61</v>
      </c>
      <c r="C29" s="228">
        <v>760000</v>
      </c>
      <c r="D29" s="319"/>
      <c r="E29" s="231"/>
      <c r="F29" s="231"/>
      <c r="G29" s="231"/>
      <c r="H29" s="231"/>
      <c r="I29" s="231"/>
      <c r="J29" s="221"/>
    </row>
    <row r="30" spans="1:10">
      <c r="A30" s="221" t="s">
        <v>60</v>
      </c>
      <c r="B30" s="223" t="s">
        <v>76</v>
      </c>
      <c r="C30" s="224">
        <f>+C31+C35</f>
        <v>3767572600</v>
      </c>
      <c r="D30" s="319"/>
      <c r="E30" s="222"/>
      <c r="F30" s="222"/>
      <c r="G30" s="222"/>
      <c r="H30" s="222"/>
      <c r="I30" s="222"/>
      <c r="J30" s="225"/>
    </row>
    <row r="31" spans="1:10" ht="31.5">
      <c r="A31" s="221" t="s">
        <v>78</v>
      </c>
      <c r="B31" s="223" t="s">
        <v>58</v>
      </c>
      <c r="C31" s="224">
        <f>SUM(C32:C34)</f>
        <v>167038600</v>
      </c>
      <c r="D31" s="319"/>
      <c r="E31" s="222"/>
      <c r="F31" s="222"/>
      <c r="G31" s="222"/>
      <c r="H31" s="222"/>
      <c r="I31" s="222"/>
      <c r="J31" s="225"/>
    </row>
    <row r="32" spans="1:10">
      <c r="A32" s="226" t="s">
        <v>77</v>
      </c>
      <c r="B32" s="227" t="s">
        <v>158</v>
      </c>
      <c r="C32" s="228">
        <v>99821000</v>
      </c>
      <c r="D32" s="319"/>
      <c r="E32" s="231"/>
      <c r="F32" s="231"/>
      <c r="G32" s="231"/>
      <c r="H32" s="231"/>
      <c r="I32" s="231"/>
      <c r="J32" s="328"/>
    </row>
    <row r="33" spans="1:10">
      <c r="A33" s="237" t="s">
        <v>77</v>
      </c>
      <c r="B33" s="238" t="s">
        <v>383</v>
      </c>
      <c r="C33" s="264">
        <f>86696000*0.6</f>
        <v>52017600</v>
      </c>
      <c r="D33" s="319"/>
      <c r="E33" s="240"/>
      <c r="F33" s="265"/>
      <c r="G33" s="241"/>
      <c r="H33" s="240"/>
      <c r="I33" s="241"/>
      <c r="J33" s="328"/>
    </row>
    <row r="34" spans="1:10">
      <c r="A34" s="237" t="s">
        <v>77</v>
      </c>
      <c r="B34" s="238" t="s">
        <v>63</v>
      </c>
      <c r="C34" s="239">
        <v>15200000</v>
      </c>
      <c r="D34" s="319"/>
      <c r="E34" s="262"/>
      <c r="F34" s="262"/>
      <c r="G34" s="262"/>
      <c r="H34" s="262"/>
      <c r="I34" s="262"/>
      <c r="J34" s="328"/>
    </row>
    <row r="35" spans="1:10">
      <c r="A35" s="221" t="s">
        <v>81</v>
      </c>
      <c r="B35" s="223" t="s">
        <v>59</v>
      </c>
      <c r="C35" s="224">
        <f>ROUND(SUM(C36:C41),-3)</f>
        <v>3600534000</v>
      </c>
      <c r="D35" s="319"/>
      <c r="E35" s="222"/>
      <c r="F35" s="222"/>
      <c r="G35" s="222"/>
      <c r="H35" s="222"/>
      <c r="I35" s="222"/>
      <c r="J35" s="225"/>
    </row>
    <row r="36" spans="1:10" ht="31.5">
      <c r="A36" s="226" t="s">
        <v>77</v>
      </c>
      <c r="B36" s="227" t="s">
        <v>371</v>
      </c>
      <c r="C36" s="228">
        <f>5374000+6568000</f>
        <v>11942000</v>
      </c>
      <c r="D36" s="319"/>
      <c r="E36" s="229" t="s">
        <v>13</v>
      </c>
      <c r="F36" s="230"/>
      <c r="G36" s="230" t="s">
        <v>374</v>
      </c>
      <c r="H36" s="229" t="s">
        <v>16</v>
      </c>
      <c r="I36" s="230" t="s">
        <v>45</v>
      </c>
      <c r="J36" s="245"/>
    </row>
    <row r="37" spans="1:10" ht="31.5">
      <c r="A37" s="226" t="s">
        <v>77</v>
      </c>
      <c r="B37" s="227" t="s">
        <v>369</v>
      </c>
      <c r="C37" s="228">
        <f>1726000*2</f>
        <v>3452000</v>
      </c>
      <c r="D37" s="319"/>
      <c r="E37" s="229" t="s">
        <v>13</v>
      </c>
      <c r="F37" s="230"/>
      <c r="G37" s="230" t="s">
        <v>374</v>
      </c>
      <c r="H37" s="229" t="s">
        <v>16</v>
      </c>
      <c r="I37" s="230" t="s">
        <v>17</v>
      </c>
      <c r="J37" s="245"/>
    </row>
    <row r="38" spans="1:10" ht="30">
      <c r="A38" s="226" t="s">
        <v>77</v>
      </c>
      <c r="B38" s="227" t="s">
        <v>387</v>
      </c>
      <c r="C38" s="264">
        <f>86696000*0.4</f>
        <v>34678400</v>
      </c>
      <c r="D38" s="319"/>
      <c r="E38" s="229" t="s">
        <v>13</v>
      </c>
      <c r="F38" s="222"/>
      <c r="G38" s="230" t="s">
        <v>374</v>
      </c>
      <c r="H38" s="229" t="s">
        <v>16</v>
      </c>
      <c r="I38" s="230" t="s">
        <v>46</v>
      </c>
      <c r="J38" s="225"/>
    </row>
    <row r="39" spans="1:10" ht="30">
      <c r="A39" s="226" t="s">
        <v>77</v>
      </c>
      <c r="B39" s="227" t="s">
        <v>370</v>
      </c>
      <c r="C39" s="228">
        <v>3451540000</v>
      </c>
      <c r="D39" s="319"/>
      <c r="E39" s="229" t="s">
        <v>389</v>
      </c>
      <c r="F39" s="230" t="s">
        <v>14</v>
      </c>
      <c r="G39" s="230" t="s">
        <v>374</v>
      </c>
      <c r="H39" s="229" t="s">
        <v>16</v>
      </c>
      <c r="I39" s="230" t="s">
        <v>225</v>
      </c>
      <c r="J39" s="245"/>
    </row>
    <row r="40" spans="1:10" ht="31.5">
      <c r="A40" s="226" t="s">
        <v>77</v>
      </c>
      <c r="B40" s="227" t="s">
        <v>372</v>
      </c>
      <c r="C40" s="228">
        <v>88567000</v>
      </c>
      <c r="D40" s="319"/>
      <c r="E40" s="229" t="s">
        <v>13</v>
      </c>
      <c r="F40" s="229"/>
      <c r="G40" s="230" t="s">
        <v>374</v>
      </c>
      <c r="H40" s="229" t="s">
        <v>16</v>
      </c>
      <c r="I40" s="230" t="s">
        <v>48</v>
      </c>
      <c r="J40" s="236"/>
    </row>
    <row r="41" spans="1:10" ht="30">
      <c r="A41" s="226" t="s">
        <v>77</v>
      </c>
      <c r="B41" s="227" t="s">
        <v>51</v>
      </c>
      <c r="C41" s="228">
        <v>10355000</v>
      </c>
      <c r="D41" s="327"/>
      <c r="E41" s="229" t="s">
        <v>13</v>
      </c>
      <c r="F41" s="229"/>
      <c r="G41" s="230" t="s">
        <v>374</v>
      </c>
      <c r="H41" s="229" t="s">
        <v>16</v>
      </c>
      <c r="I41" s="230" t="s">
        <v>46</v>
      </c>
      <c r="J41" s="225"/>
    </row>
    <row r="42" spans="1:10">
      <c r="A42" s="221"/>
      <c r="B42" s="223" t="s">
        <v>64</v>
      </c>
      <c r="C42" s="224">
        <f>ROUND((C26+C30),-3)</f>
        <v>4000000000</v>
      </c>
      <c r="D42" s="222"/>
      <c r="E42" s="222"/>
      <c r="F42" s="222"/>
      <c r="G42" s="222"/>
      <c r="H42" s="222"/>
      <c r="I42" s="222"/>
      <c r="J42" s="225"/>
    </row>
  </sheetData>
  <mergeCells count="10">
    <mergeCell ref="A1:I1"/>
    <mergeCell ref="A2:I2"/>
    <mergeCell ref="H3:I3"/>
    <mergeCell ref="D6:D20"/>
    <mergeCell ref="D27:D41"/>
    <mergeCell ref="J32:J34"/>
    <mergeCell ref="J11:J13"/>
    <mergeCell ref="A22:I22"/>
    <mergeCell ref="A23:I23"/>
    <mergeCell ref="H24:I24"/>
  </mergeCells>
  <phoneticPr fontId="4" type="noConversion"/>
  <pageMargins left="0.61" right="0.2" top="0.54" bottom="0.2" header="0.5" footer="0.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43" workbookViewId="0">
      <selection activeCell="B58" sqref="B58"/>
    </sheetView>
  </sheetViews>
  <sheetFormatPr defaultColWidth="9" defaultRowHeight="15.75"/>
  <cols>
    <col min="1" max="1" width="4.109375" style="220" customWidth="1"/>
    <col min="2" max="2" width="41.10937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8.109375" style="220" customWidth="1"/>
    <col min="11" max="11" width="20.33203125" style="220" customWidth="1"/>
    <col min="12" max="12" width="16.33203125" style="220" bestFit="1" customWidth="1"/>
    <col min="13" max="16384" width="9" style="220"/>
  </cols>
  <sheetData>
    <row r="1" spans="1:10" ht="16.5">
      <c r="A1" s="316" t="s">
        <v>27</v>
      </c>
      <c r="B1" s="316"/>
      <c r="C1" s="316"/>
      <c r="D1" s="316"/>
      <c r="E1" s="316"/>
      <c r="F1" s="316"/>
      <c r="G1" s="316"/>
      <c r="H1" s="316"/>
      <c r="I1" s="316"/>
    </row>
    <row r="2" spans="1:10" ht="16.5">
      <c r="A2" s="317" t="s">
        <v>390</v>
      </c>
      <c r="B2" s="317"/>
      <c r="C2" s="317"/>
      <c r="D2" s="317"/>
      <c r="E2" s="317"/>
      <c r="F2" s="317"/>
      <c r="G2" s="317"/>
      <c r="H2" s="317"/>
      <c r="I2" s="317"/>
    </row>
    <row r="3" spans="1:10">
      <c r="H3" s="318"/>
      <c r="I3" s="318"/>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58269000</v>
      </c>
      <c r="D5" s="221"/>
      <c r="E5" s="222"/>
      <c r="F5" s="222"/>
      <c r="G5" s="222"/>
      <c r="H5" s="222"/>
      <c r="I5" s="222"/>
      <c r="J5" s="225"/>
    </row>
    <row r="6" spans="1:10" ht="31.5">
      <c r="A6" s="226" t="s">
        <v>77</v>
      </c>
      <c r="B6" s="227" t="s">
        <v>379</v>
      </c>
      <c r="C6" s="228">
        <f>13322000+40795000</f>
        <v>54117000</v>
      </c>
      <c r="D6" s="326" t="s">
        <v>373</v>
      </c>
      <c r="E6" s="229" t="s">
        <v>13</v>
      </c>
      <c r="F6" s="222"/>
      <c r="G6" s="230"/>
      <c r="H6" s="229" t="s">
        <v>16</v>
      </c>
      <c r="I6" s="230" t="s">
        <v>66</v>
      </c>
      <c r="J6" s="225"/>
    </row>
    <row r="7" spans="1:10">
      <c r="A7" s="226" t="s">
        <v>77</v>
      </c>
      <c r="B7" s="227" t="s">
        <v>80</v>
      </c>
      <c r="C7" s="228">
        <f>4000000</f>
        <v>4000000</v>
      </c>
      <c r="D7" s="319"/>
      <c r="E7" s="229" t="s">
        <v>13</v>
      </c>
      <c r="F7" s="231"/>
      <c r="G7" s="231"/>
      <c r="H7" s="229" t="s">
        <v>16</v>
      </c>
      <c r="I7" s="230" t="s">
        <v>45</v>
      </c>
      <c r="J7" s="221"/>
    </row>
    <row r="8" spans="1:10">
      <c r="A8" s="226" t="s">
        <v>77</v>
      </c>
      <c r="B8" s="227" t="s">
        <v>61</v>
      </c>
      <c r="C8" s="228">
        <v>152000</v>
      </c>
      <c r="D8" s="319"/>
      <c r="E8" s="231"/>
      <c r="F8" s="231"/>
      <c r="G8" s="231"/>
      <c r="H8" s="231"/>
      <c r="I8" s="231"/>
      <c r="J8" s="221"/>
    </row>
    <row r="9" spans="1:10">
      <c r="A9" s="221" t="s">
        <v>60</v>
      </c>
      <c r="B9" s="223" t="s">
        <v>76</v>
      </c>
      <c r="C9" s="224">
        <f>+C10+C14</f>
        <v>741731000</v>
      </c>
      <c r="D9" s="319"/>
      <c r="E9" s="222"/>
      <c r="F9" s="222"/>
      <c r="G9" s="222"/>
      <c r="H9" s="222"/>
      <c r="I9" s="222"/>
      <c r="J9" s="225"/>
    </row>
    <row r="10" spans="1:10">
      <c r="A10" s="221" t="s">
        <v>78</v>
      </c>
      <c r="B10" s="223" t="s">
        <v>58</v>
      </c>
      <c r="C10" s="224">
        <f>SUM(C11:C13)</f>
        <v>32753000</v>
      </c>
      <c r="D10" s="319"/>
      <c r="E10" s="222"/>
      <c r="F10" s="222"/>
      <c r="G10" s="222"/>
      <c r="H10" s="222"/>
      <c r="I10" s="222"/>
      <c r="J10" s="225"/>
    </row>
    <row r="11" spans="1:10">
      <c r="A11" s="226" t="s">
        <v>77</v>
      </c>
      <c r="B11" s="227" t="s">
        <v>158</v>
      </c>
      <c r="C11" s="228">
        <f>14962000+2464000+2000000</f>
        <v>19426000</v>
      </c>
      <c r="D11" s="319"/>
      <c r="E11" s="231"/>
      <c r="F11" s="231"/>
      <c r="G11" s="231"/>
      <c r="H11" s="231"/>
      <c r="I11" s="231"/>
      <c r="J11" s="328"/>
    </row>
    <row r="12" spans="1:10">
      <c r="A12" s="226" t="s">
        <v>77</v>
      </c>
      <c r="B12" s="227" t="s">
        <v>383</v>
      </c>
      <c r="C12" s="264">
        <f>17145000*0.6</f>
        <v>10287000</v>
      </c>
      <c r="D12" s="319"/>
      <c r="E12" s="229"/>
      <c r="F12" s="222"/>
      <c r="G12" s="230"/>
      <c r="H12" s="229"/>
      <c r="I12" s="230"/>
      <c r="J12" s="328"/>
    </row>
    <row r="13" spans="1:10">
      <c r="A13" s="226" t="s">
        <v>77</v>
      </c>
      <c r="B13" s="227" t="s">
        <v>63</v>
      </c>
      <c r="C13" s="228">
        <v>3040000</v>
      </c>
      <c r="D13" s="319"/>
      <c r="E13" s="231"/>
      <c r="F13" s="231"/>
      <c r="G13" s="231"/>
      <c r="H13" s="231"/>
      <c r="I13" s="231"/>
      <c r="J13" s="328"/>
    </row>
    <row r="14" spans="1:10">
      <c r="A14" s="221" t="s">
        <v>81</v>
      </c>
      <c r="B14" s="223" t="s">
        <v>59</v>
      </c>
      <c r="C14" s="224">
        <f>ROUND(SUM(C15:C18),-3)</f>
        <v>708978000</v>
      </c>
      <c r="D14" s="319"/>
      <c r="E14" s="222"/>
      <c r="F14" s="222"/>
      <c r="G14" s="222"/>
      <c r="H14" s="222"/>
      <c r="I14" s="222"/>
      <c r="J14" s="225"/>
    </row>
    <row r="15" spans="1:10" ht="30">
      <c r="A15" s="226" t="s">
        <v>77</v>
      </c>
      <c r="B15" s="227" t="s">
        <v>384</v>
      </c>
      <c r="C15" s="264">
        <f>17145000*0.4</f>
        <v>6858000</v>
      </c>
      <c r="D15" s="319"/>
      <c r="E15" s="229" t="s">
        <v>13</v>
      </c>
      <c r="F15" s="222"/>
      <c r="G15" s="230" t="s">
        <v>380</v>
      </c>
      <c r="H15" s="229" t="s">
        <v>16</v>
      </c>
      <c r="I15" s="230" t="s">
        <v>46</v>
      </c>
      <c r="J15" s="225"/>
    </row>
    <row r="16" spans="1:10" ht="30">
      <c r="A16" s="226" t="s">
        <v>77</v>
      </c>
      <c r="B16" s="227" t="s">
        <v>394</v>
      </c>
      <c r="C16" s="228">
        <v>682558000</v>
      </c>
      <c r="D16" s="319"/>
      <c r="E16" s="229" t="s">
        <v>13</v>
      </c>
      <c r="F16" s="230"/>
      <c r="G16" s="230" t="s">
        <v>380</v>
      </c>
      <c r="H16" s="229" t="s">
        <v>16</v>
      </c>
      <c r="I16" s="230" t="s">
        <v>130</v>
      </c>
      <c r="J16" s="245"/>
    </row>
    <row r="17" spans="1:10" ht="30">
      <c r="A17" s="226" t="s">
        <v>77</v>
      </c>
      <c r="B17" s="227" t="s">
        <v>381</v>
      </c>
      <c r="C17" s="228">
        <v>17514000</v>
      </c>
      <c r="D17" s="319"/>
      <c r="E17" s="229" t="s">
        <v>13</v>
      </c>
      <c r="F17" s="229"/>
      <c r="G17" s="230" t="s">
        <v>380</v>
      </c>
      <c r="H17" s="229" t="s">
        <v>16</v>
      </c>
      <c r="I17" s="230" t="s">
        <v>319</v>
      </c>
      <c r="J17" s="236"/>
    </row>
    <row r="18" spans="1:10" ht="30">
      <c r="A18" s="226" t="s">
        <v>77</v>
      </c>
      <c r="B18" s="227" t="s">
        <v>318</v>
      </c>
      <c r="C18" s="228">
        <v>2048000</v>
      </c>
      <c r="D18" s="327"/>
      <c r="E18" s="229" t="s">
        <v>13</v>
      </c>
      <c r="F18" s="229"/>
      <c r="G18" s="230" t="s">
        <v>380</v>
      </c>
      <c r="H18" s="229" t="s">
        <v>16</v>
      </c>
      <c r="I18" s="230" t="s">
        <v>46</v>
      </c>
      <c r="J18" s="225"/>
    </row>
    <row r="19" spans="1:10">
      <c r="A19" s="221"/>
      <c r="B19" s="223" t="s">
        <v>64</v>
      </c>
      <c r="C19" s="224">
        <f>ROUND((C5+C9),-3)</f>
        <v>800000000</v>
      </c>
      <c r="D19" s="222"/>
      <c r="E19" s="222"/>
      <c r="F19" s="222"/>
      <c r="G19" s="222"/>
      <c r="H19" s="222"/>
      <c r="I19" s="222"/>
      <c r="J19" s="225"/>
    </row>
    <row r="20" spans="1:10" ht="41.25" customHeight="1"/>
    <row r="35" spans="1:10" ht="41.25" customHeight="1"/>
    <row r="36" spans="1:10" ht="41.25" customHeight="1"/>
    <row r="37" spans="1:10" ht="41.25" customHeight="1"/>
    <row r="38" spans="1:10" ht="41.25" customHeight="1"/>
    <row r="39" spans="1:10" ht="41.25" customHeight="1"/>
    <row r="40" spans="1:10" ht="41.25" customHeight="1"/>
    <row r="41" spans="1:10" ht="118.5" customHeight="1"/>
    <row r="42" spans="1:10" ht="16.5">
      <c r="A42" s="316" t="s">
        <v>27</v>
      </c>
      <c r="B42" s="316"/>
      <c r="C42" s="316"/>
      <c r="D42" s="316"/>
      <c r="E42" s="316"/>
      <c r="F42" s="316"/>
      <c r="G42" s="316"/>
      <c r="H42" s="316"/>
      <c r="I42" s="316"/>
    </row>
    <row r="43" spans="1:10" ht="16.5" customHeight="1">
      <c r="A43" s="317" t="s">
        <v>391</v>
      </c>
      <c r="B43" s="317"/>
      <c r="C43" s="317"/>
      <c r="D43" s="317"/>
      <c r="E43" s="317"/>
      <c r="F43" s="317"/>
      <c r="G43" s="317"/>
      <c r="H43" s="317"/>
      <c r="I43" s="317"/>
      <c r="J43" s="317"/>
    </row>
    <row r="44" spans="1:10">
      <c r="H44" s="318"/>
      <c r="I44" s="318"/>
    </row>
    <row r="45" spans="1:10" ht="63">
      <c r="A45" s="221" t="s">
        <v>21</v>
      </c>
      <c r="B45" s="221" t="s">
        <v>0</v>
      </c>
      <c r="C45" s="221" t="s">
        <v>83</v>
      </c>
      <c r="D45" s="221" t="s">
        <v>1</v>
      </c>
      <c r="E45" s="221" t="s">
        <v>2</v>
      </c>
      <c r="F45" s="221" t="s">
        <v>3</v>
      </c>
      <c r="G45" s="221" t="s">
        <v>4</v>
      </c>
      <c r="H45" s="221" t="s">
        <v>5</v>
      </c>
      <c r="I45" s="221" t="s">
        <v>6</v>
      </c>
      <c r="J45" s="221" t="s">
        <v>65</v>
      </c>
    </row>
    <row r="46" spans="1:10">
      <c r="A46" s="221" t="s">
        <v>57</v>
      </c>
      <c r="B46" s="223" t="s">
        <v>75</v>
      </c>
      <c r="C46" s="224" t="e">
        <f>SUM(#REF!)</f>
        <v>#REF!</v>
      </c>
      <c r="D46" s="221"/>
      <c r="E46" s="222"/>
      <c r="F46" s="222"/>
      <c r="G46" s="222"/>
      <c r="H46" s="222"/>
      <c r="I46" s="222"/>
      <c r="J46" s="225"/>
    </row>
    <row r="47" spans="1:10">
      <c r="A47" s="221" t="s">
        <v>57</v>
      </c>
      <c r="B47" s="223" t="s">
        <v>75</v>
      </c>
      <c r="C47" s="224">
        <f>SUM(C48:C50)</f>
        <v>58269000</v>
      </c>
      <c r="D47" s="221"/>
      <c r="E47" s="222"/>
      <c r="F47" s="222"/>
      <c r="G47" s="222"/>
      <c r="H47" s="222"/>
      <c r="I47" s="222"/>
      <c r="J47" s="225"/>
    </row>
    <row r="48" spans="1:10" ht="31.5">
      <c r="A48" s="226" t="s">
        <v>77</v>
      </c>
      <c r="B48" s="227" t="s">
        <v>379</v>
      </c>
      <c r="C48" s="228">
        <f>13322000+40795000</f>
        <v>54117000</v>
      </c>
      <c r="D48" s="326" t="s">
        <v>373</v>
      </c>
      <c r="E48" s="229" t="s">
        <v>13</v>
      </c>
      <c r="F48" s="222"/>
      <c r="G48" s="230"/>
      <c r="H48" s="229" t="s">
        <v>16</v>
      </c>
      <c r="I48" s="230" t="s">
        <v>66</v>
      </c>
      <c r="J48" s="225"/>
    </row>
    <row r="49" spans="1:10">
      <c r="A49" s="226" t="s">
        <v>77</v>
      </c>
      <c r="B49" s="227" t="s">
        <v>80</v>
      </c>
      <c r="C49" s="228">
        <f>4000000</f>
        <v>4000000</v>
      </c>
      <c r="D49" s="319"/>
      <c r="E49" s="229" t="s">
        <v>13</v>
      </c>
      <c r="F49" s="231"/>
      <c r="G49" s="231"/>
      <c r="H49" s="229" t="s">
        <v>16</v>
      </c>
      <c r="I49" s="230" t="s">
        <v>45</v>
      </c>
      <c r="J49" s="221"/>
    </row>
    <row r="50" spans="1:10">
      <c r="A50" s="226" t="s">
        <v>77</v>
      </c>
      <c r="B50" s="227" t="s">
        <v>61</v>
      </c>
      <c r="C50" s="228">
        <v>152000</v>
      </c>
      <c r="D50" s="319"/>
      <c r="E50" s="231"/>
      <c r="F50" s="231"/>
      <c r="G50" s="231"/>
      <c r="H50" s="231"/>
      <c r="I50" s="231"/>
      <c r="J50" s="221"/>
    </row>
    <row r="51" spans="1:10">
      <c r="A51" s="221" t="s">
        <v>60</v>
      </c>
      <c r="B51" s="223" t="s">
        <v>76</v>
      </c>
      <c r="C51" s="224">
        <f>+C52+C56</f>
        <v>741731000</v>
      </c>
      <c r="D51" s="319"/>
      <c r="E51" s="222"/>
      <c r="F51" s="222"/>
      <c r="G51" s="222"/>
      <c r="H51" s="222"/>
      <c r="I51" s="222"/>
      <c r="J51" s="225"/>
    </row>
    <row r="52" spans="1:10">
      <c r="A52" s="221" t="s">
        <v>78</v>
      </c>
      <c r="B52" s="223" t="s">
        <v>58</v>
      </c>
      <c r="C52" s="224">
        <f>SUM(C53:C55)</f>
        <v>32753000</v>
      </c>
      <c r="D52" s="319"/>
      <c r="E52" s="222"/>
      <c r="F52" s="222"/>
      <c r="G52" s="222"/>
      <c r="H52" s="222"/>
      <c r="I52" s="222"/>
      <c r="J52" s="225"/>
    </row>
    <row r="53" spans="1:10">
      <c r="A53" s="226" t="s">
        <v>77</v>
      </c>
      <c r="B53" s="227" t="s">
        <v>158</v>
      </c>
      <c r="C53" s="228">
        <f>14962000+2464000+2000000</f>
        <v>19426000</v>
      </c>
      <c r="D53" s="319"/>
      <c r="E53" s="231"/>
      <c r="F53" s="231"/>
      <c r="G53" s="231"/>
      <c r="H53" s="231"/>
      <c r="I53" s="231"/>
      <c r="J53" s="328"/>
    </row>
    <row r="54" spans="1:10">
      <c r="A54" s="226" t="s">
        <v>77</v>
      </c>
      <c r="B54" s="227" t="s">
        <v>383</v>
      </c>
      <c r="C54" s="264">
        <f>17145000*0.6</f>
        <v>10287000</v>
      </c>
      <c r="D54" s="319"/>
      <c r="E54" s="229"/>
      <c r="F54" s="222"/>
      <c r="G54" s="230"/>
      <c r="H54" s="229"/>
      <c r="I54" s="230"/>
      <c r="J54" s="328"/>
    </row>
    <row r="55" spans="1:10">
      <c r="A55" s="226" t="s">
        <v>77</v>
      </c>
      <c r="B55" s="227" t="s">
        <v>63</v>
      </c>
      <c r="C55" s="228">
        <v>3040000</v>
      </c>
      <c r="D55" s="319"/>
      <c r="E55" s="231"/>
      <c r="F55" s="231"/>
      <c r="G55" s="231"/>
      <c r="H55" s="231"/>
      <c r="I55" s="231"/>
      <c r="J55" s="328"/>
    </row>
    <row r="56" spans="1:10">
      <c r="A56" s="221" t="s">
        <v>81</v>
      </c>
      <c r="B56" s="223" t="s">
        <v>59</v>
      </c>
      <c r="C56" s="224">
        <f>ROUND(SUM(C57:C60),-3)</f>
        <v>708978000</v>
      </c>
      <c r="D56" s="319"/>
      <c r="E56" s="222"/>
      <c r="F56" s="222"/>
      <c r="G56" s="222"/>
      <c r="H56" s="222"/>
      <c r="I56" s="222"/>
      <c r="J56" s="225"/>
    </row>
    <row r="57" spans="1:10" ht="30">
      <c r="A57" s="226" t="s">
        <v>77</v>
      </c>
      <c r="B57" s="227" t="s">
        <v>384</v>
      </c>
      <c r="C57" s="264">
        <f>17145000*0.4</f>
        <v>6858000</v>
      </c>
      <c r="D57" s="319"/>
      <c r="E57" s="229" t="s">
        <v>13</v>
      </c>
      <c r="F57" s="222"/>
      <c r="G57" s="230" t="s">
        <v>380</v>
      </c>
      <c r="H57" s="229" t="s">
        <v>16</v>
      </c>
      <c r="I57" s="230" t="s">
        <v>46</v>
      </c>
      <c r="J57" s="225"/>
    </row>
    <row r="58" spans="1:10" ht="30">
      <c r="A58" s="226" t="s">
        <v>77</v>
      </c>
      <c r="B58" s="227" t="s">
        <v>394</v>
      </c>
      <c r="C58" s="228">
        <v>682558000</v>
      </c>
      <c r="D58" s="319"/>
      <c r="E58" s="229" t="s">
        <v>13</v>
      </c>
      <c r="F58" s="230"/>
      <c r="G58" s="230" t="s">
        <v>380</v>
      </c>
      <c r="H58" s="229" t="s">
        <v>16</v>
      </c>
      <c r="I58" s="230" t="s">
        <v>130</v>
      </c>
      <c r="J58" s="245"/>
    </row>
    <row r="59" spans="1:10" ht="30">
      <c r="A59" s="226" t="s">
        <v>77</v>
      </c>
      <c r="B59" s="227" t="s">
        <v>381</v>
      </c>
      <c r="C59" s="228">
        <v>17514000</v>
      </c>
      <c r="D59" s="319"/>
      <c r="E59" s="229" t="s">
        <v>13</v>
      </c>
      <c r="F59" s="229"/>
      <c r="G59" s="230" t="s">
        <v>380</v>
      </c>
      <c r="H59" s="229" t="s">
        <v>16</v>
      </c>
      <c r="I59" s="230" t="s">
        <v>319</v>
      </c>
      <c r="J59" s="236"/>
    </row>
    <row r="60" spans="1:10" ht="30">
      <c r="A60" s="226" t="s">
        <v>77</v>
      </c>
      <c r="B60" s="227" t="s">
        <v>318</v>
      </c>
      <c r="C60" s="228">
        <v>2048000</v>
      </c>
      <c r="D60" s="327"/>
      <c r="E60" s="229" t="s">
        <v>13</v>
      </c>
      <c r="F60" s="229"/>
      <c r="G60" s="230" t="s">
        <v>380</v>
      </c>
      <c r="H60" s="229" t="s">
        <v>16</v>
      </c>
      <c r="I60" s="230" t="s">
        <v>46</v>
      </c>
      <c r="J60" s="225"/>
    </row>
    <row r="61" spans="1:10">
      <c r="A61" s="221"/>
      <c r="B61" s="223" t="s">
        <v>64</v>
      </c>
      <c r="C61" s="224">
        <f>ROUND((C47+C51),-3)</f>
        <v>800000000</v>
      </c>
      <c r="D61" s="222"/>
      <c r="E61" s="222"/>
      <c r="F61" s="222"/>
      <c r="G61" s="222"/>
      <c r="H61" s="222"/>
      <c r="I61" s="222"/>
      <c r="J61" s="225"/>
    </row>
  </sheetData>
  <mergeCells count="10">
    <mergeCell ref="A1:I1"/>
    <mergeCell ref="A2:I2"/>
    <mergeCell ref="H3:I3"/>
    <mergeCell ref="D6:D18"/>
    <mergeCell ref="D48:D60"/>
    <mergeCell ref="J53:J55"/>
    <mergeCell ref="J11:J13"/>
    <mergeCell ref="A42:I42"/>
    <mergeCell ref="A43:J43"/>
    <mergeCell ref="H44:I44"/>
  </mergeCells>
  <phoneticPr fontId="4" type="noConversion"/>
  <pageMargins left="0.26" right="0.22" top="0.63" bottom="0.17"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3</vt:i4>
      </vt:variant>
    </vt:vector>
  </HeadingPairs>
  <TitlesOfParts>
    <vt:vector size="55" baseType="lpstr">
      <vt:lpstr>Đ</vt:lpstr>
      <vt:lpstr>Đường Hương thôn</vt:lpstr>
      <vt:lpstr>Sheet7</vt:lpstr>
      <vt:lpstr>Trường MN Phong Sơn</vt:lpstr>
      <vt:lpstr>Điện Điền Môn</vt:lpstr>
      <vt:lpstr>Đường thôn 10</vt:lpstr>
      <vt:lpstr>TB pHONG hÒA</vt:lpstr>
      <vt:lpstr>Đê ĐM</vt:lpstr>
      <vt:lpstr>Kênh ĐHương</vt:lpstr>
      <vt:lpstr>Kênh Điền Môn</vt:lpstr>
      <vt:lpstr>Thoát nước Phong Hải</vt:lpstr>
      <vt:lpstr>Cầu Trung Thạnh</vt:lpstr>
      <vt:lpstr>Đê ĐHương</vt:lpstr>
      <vt:lpstr>Sheet6</vt:lpstr>
      <vt:lpstr>Đê phong bình</vt:lpstr>
      <vt:lpstr>Phong Chương</vt:lpstr>
      <vt:lpstr>135 PM</vt:lpstr>
      <vt:lpstr>Đường ĐHòa</vt:lpstr>
      <vt:lpstr>Kè</vt:lpstr>
      <vt:lpstr>cqcm</vt:lpstr>
      <vt:lpstr>TB Phong Bình</vt:lpstr>
      <vt:lpstr>NTP</vt:lpstr>
      <vt:lpstr>Sheet4</vt:lpstr>
      <vt:lpstr>ben củi</vt:lpstr>
      <vt:lpstr>KH đen l2</vt:lpstr>
      <vt:lpstr>KH dèn</vt:lpstr>
      <vt:lpstr>TĐ lần 2</vt:lpstr>
      <vt:lpstr>TĐ đèn</vt:lpstr>
      <vt:lpstr>DTHD</vt:lpstr>
      <vt:lpstr>TB HD</vt:lpstr>
      <vt:lpstr>MNây</vt:lpstr>
      <vt:lpstr>257 pb</vt:lpstr>
      <vt:lpstr>135</vt:lpstr>
      <vt:lpstr>THPTHU</vt:lpstr>
      <vt:lpstr>Sheet5</vt:lpstr>
      <vt:lpstr>đhoa</vt:lpstr>
      <vt:lpstr>KH MNPTH</vt:lpstr>
      <vt:lpstr>MN PtHU</vt:lpstr>
      <vt:lpstr>TMĐT XB</vt:lpstr>
      <vt:lpstr>đường XB</vt:lpstr>
      <vt:lpstr>tmđt ĐườngTP</vt:lpstr>
      <vt:lpstr>Đường PH</vt:lpstr>
      <vt:lpstr>MN PH1</vt:lpstr>
      <vt:lpstr>THCS PH</vt:lpstr>
      <vt:lpstr>MN PChương 2</vt:lpstr>
      <vt:lpstr>NTLS</vt:lpstr>
      <vt:lpstr>Sheet2</vt:lpstr>
      <vt:lpstr>Sheet1</vt:lpstr>
      <vt:lpstr>TCKH</vt:lpstr>
      <vt:lpstr>Sheet3</vt:lpstr>
      <vt:lpstr>Sheet8</vt:lpstr>
      <vt:lpstr>Phụ lục KHLCNT</vt:lpstr>
      <vt:lpstr>Đ!Print_Area</vt:lpstr>
      <vt:lpstr>'Phụ lục KHLCNT'!Print_Area</vt:lpstr>
      <vt:lpstr>Sheet1!Print_Area</vt:lpstr>
    </vt:vector>
  </TitlesOfParts>
  <Company>CON DAO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NP-COMPUTER</dc:creator>
  <cp:lastModifiedBy>Admin</cp:lastModifiedBy>
  <cp:lastPrinted>2021-06-08T04:39:25Z</cp:lastPrinted>
  <dcterms:created xsi:type="dcterms:W3CDTF">2017-07-13T03:03:09Z</dcterms:created>
  <dcterms:modified xsi:type="dcterms:W3CDTF">2021-06-10T02:40:03Z</dcterms:modified>
</cp:coreProperties>
</file>